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7968" tabRatio="780" activeTab="0"/>
  </bookViews>
  <sheets>
    <sheet name="MASTER CELL" sheetId="1" r:id="rId1"/>
    <sheet name="GPF EMPLOYEE" sheetId="2" r:id="rId2"/>
    <sheet name="NPS EMPLOYEE" sheetId="3" r:id="rId3"/>
  </sheets>
  <definedNames>
    <definedName name="ANAND">'MASTER CELL'!#REF!</definedName>
    <definedName name="ANANDD">'MASTER CELL'!#REF!</definedName>
    <definedName name="_xlnm.Print_Area" localSheetId="1">'GPF EMPLOYEE'!$A$1:$T$15</definedName>
    <definedName name="_xlnm.Print_Area" localSheetId="2">'NPS EMPLOYEE'!$A$1:$T$15</definedName>
  </definedNames>
  <calcPr fullCalcOnLoad="1"/>
</workbook>
</file>

<file path=xl/sharedStrings.xml><?xml version="1.0" encoding="utf-8"?>
<sst xmlns="http://schemas.openxmlformats.org/spreadsheetml/2006/main" count="84" uniqueCount="45">
  <si>
    <t>Due</t>
  </si>
  <si>
    <t>BASIC</t>
  </si>
  <si>
    <t>DA</t>
  </si>
  <si>
    <t>HRA</t>
  </si>
  <si>
    <t>TOTAL</t>
  </si>
  <si>
    <t>DRAWN</t>
  </si>
  <si>
    <t>DIFFERENCE</t>
  </si>
  <si>
    <t>Month</t>
  </si>
  <si>
    <t>S.No.</t>
  </si>
  <si>
    <t>INCOME TAX</t>
  </si>
  <si>
    <t>TOTAL DEDUCTION</t>
  </si>
  <si>
    <t>NET AMMOUNT</t>
  </si>
  <si>
    <t>TV NUMBER &amp; DATE</t>
  </si>
  <si>
    <t>BASIC  30%</t>
  </si>
  <si>
    <t>DA       30%</t>
  </si>
  <si>
    <t>TOTAL    30%</t>
  </si>
  <si>
    <t>NPS    30%</t>
  </si>
  <si>
    <t>NET PAY AMMOUNT</t>
  </si>
  <si>
    <t>CREDIT GPF    30%</t>
  </si>
  <si>
    <t>SR. NO.</t>
  </si>
  <si>
    <t>6TH PAY BASIC (01.01.2017)</t>
  </si>
  <si>
    <t>7TH PAY BASIC  (01.01.2017)</t>
  </si>
  <si>
    <t xml:space="preserve">TAX % </t>
  </si>
  <si>
    <t>SELECT SR. NO.</t>
  </si>
  <si>
    <t>GOVT SENIOR SECONDARY SCHOOL KHEDLA JAGIR BARAN</t>
  </si>
  <si>
    <t>RAM DAYAL NAGAR</t>
  </si>
  <si>
    <t>NAME OF EMPLOYEE              $                                  DESIGNATION</t>
  </si>
  <si>
    <t>NAME OF SCHOOL/OFFICE</t>
  </si>
  <si>
    <t>TAX         %</t>
  </si>
  <si>
    <t>MOHAN LAL NAYAK, PRINCIPAL</t>
  </si>
  <si>
    <r>
      <t xml:space="preserve"> thih,Q okys dkfeZd bl Vscy dks iw.kZ Hkjdja uhps miyC/k </t>
    </r>
    <r>
      <rPr>
        <b/>
        <sz val="22"/>
        <rFont val="Times New Roman"/>
        <family val="1"/>
      </rPr>
      <t xml:space="preserve">GPF EMPLOYEE </t>
    </r>
    <r>
      <rPr>
        <b/>
        <sz val="22"/>
        <rFont val="Kruti Dev 010"/>
        <family val="0"/>
      </rPr>
      <t>'khV esa tk;sa ,oa vius dzekad dks Mkydj ,fj;j 'khV fudkysaA</t>
    </r>
  </si>
  <si>
    <r>
      <rPr>
        <b/>
        <sz val="22"/>
        <rFont val="Times New Roman"/>
        <family val="1"/>
      </rPr>
      <t xml:space="preserve"> NPS</t>
    </r>
    <r>
      <rPr>
        <b/>
        <sz val="22"/>
        <rFont val="Kruti Dev 010"/>
        <family val="0"/>
      </rPr>
      <t xml:space="preserve"> okys dkfeZd bl Vscy dks iw.kZ Hkjdja uhps miyC/k </t>
    </r>
    <r>
      <rPr>
        <b/>
        <sz val="22"/>
        <rFont val="Times New Roman"/>
        <family val="1"/>
      </rPr>
      <t xml:space="preserve">NPS EMPLOYEE </t>
    </r>
    <r>
      <rPr>
        <b/>
        <sz val="22"/>
        <rFont val="Kruti Dev 010"/>
        <family val="0"/>
      </rPr>
      <t>'khV esa tk;sa ,oa vius dzekad dks Mkydj ,fj;j 'khV fudkysaA</t>
    </r>
  </si>
  <si>
    <t>JAGDEEP YADAV, PRINCIPAL</t>
  </si>
  <si>
    <t>TAX%</t>
  </si>
  <si>
    <t>SR NO.</t>
  </si>
  <si>
    <t>PARMANAND MEGHWAL</t>
  </si>
  <si>
    <t>SENIOR TEACHER (SCIENCE)</t>
  </si>
  <si>
    <t>GSSS KHEDLA JAGIR, CHHIPABADOD DISTIC BARAN RAJ. 325221</t>
  </si>
  <si>
    <t>Add-Kawai salpura Tehsil Atru District baran Rajasthan 325219</t>
  </si>
  <si>
    <t>9784379510</t>
  </si>
  <si>
    <t>CREATED BY:-</t>
  </si>
  <si>
    <t>HEERA LAL VERMA</t>
  </si>
  <si>
    <t>JAGMOHAN</t>
  </si>
  <si>
    <t xml:space="preserve"> AREAR 01-01-2017 TO 30-09-2017                                                                                 (SECOND INSTALLMENT)</t>
  </si>
  <si>
    <t xml:space="preserve"> AREAR 01-01-2017 TO 30-09-2017                                                                                               (SECOND INSTALLMENT)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</si>
</sst>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name val="Goudy Old Style"/>
      <family val="1"/>
    </font>
    <font>
      <b/>
      <sz val="20"/>
      <name val="Goudy Old Style"/>
      <family val="1"/>
    </font>
    <font>
      <sz val="8"/>
      <name val="Arial"/>
      <family val="2"/>
    </font>
    <font>
      <b/>
      <sz val="9"/>
      <name val="Arial"/>
      <family val="2"/>
    </font>
    <font>
      <sz val="36"/>
      <name val="DevLys 010"/>
      <family val="0"/>
    </font>
    <font>
      <b/>
      <i/>
      <sz val="16"/>
      <name val="Times New Roman"/>
      <family val="1"/>
    </font>
    <font>
      <sz val="14"/>
      <name val="Goudy Old Style"/>
      <family val="1"/>
    </font>
    <font>
      <sz val="12"/>
      <name val="Goudy Old Style"/>
      <family val="1"/>
    </font>
    <font>
      <sz val="24"/>
      <name val="Goudy Old Style"/>
      <family val="1"/>
    </font>
    <font>
      <sz val="12"/>
      <name val="Arial"/>
      <family val="2"/>
    </font>
    <font>
      <sz val="12"/>
      <name val="Times New Roman"/>
      <family val="1"/>
    </font>
    <font>
      <sz val="26"/>
      <name val="Algerian"/>
      <family val="5"/>
    </font>
    <font>
      <b/>
      <sz val="22"/>
      <name val="Kruti Dev 010"/>
      <family val="0"/>
    </font>
    <font>
      <b/>
      <sz val="22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gerian"/>
      <family val="5"/>
    </font>
    <font>
      <sz val="18"/>
      <color indexed="8"/>
      <name val="Algerian"/>
      <family val="5"/>
    </font>
    <font>
      <sz val="22"/>
      <color indexed="8"/>
      <name val="Algerian"/>
      <family val="5"/>
    </font>
    <font>
      <sz val="20"/>
      <color indexed="8"/>
      <name val="Algerian"/>
      <family val="5"/>
    </font>
    <font>
      <b/>
      <sz val="3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10"/>
      <name val="Goudy Old Style"/>
      <family val="1"/>
    </font>
    <font>
      <sz val="16"/>
      <color indexed="10"/>
      <name val="Goudy Old Style"/>
      <family val="1"/>
    </font>
    <font>
      <sz val="20"/>
      <color indexed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gerian"/>
      <family val="5"/>
    </font>
    <font>
      <sz val="18"/>
      <color theme="1"/>
      <name val="Algerian"/>
      <family val="5"/>
    </font>
    <font>
      <sz val="22"/>
      <color theme="1"/>
      <name val="Algerian"/>
      <family val="5"/>
    </font>
    <font>
      <sz val="20"/>
      <color theme="1"/>
      <name val="Algerian"/>
      <family val="5"/>
    </font>
    <font>
      <sz val="14"/>
      <color rgb="FFFF0000"/>
      <name val="Goudy Old Style"/>
      <family val="1"/>
    </font>
    <font>
      <sz val="16"/>
      <color rgb="FFFF0000"/>
      <name val="Goudy Old Style"/>
      <family val="1"/>
    </font>
    <font>
      <sz val="20"/>
      <color rgb="FFFF0000"/>
      <name val="Goudy Old Style"/>
      <family val="1"/>
    </font>
    <font>
      <b/>
      <sz val="3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 textRotation="90"/>
    </xf>
    <xf numFmtId="0" fontId="0" fillId="33" borderId="0" xfId="0" applyFont="1" applyFill="1" applyAlignment="1">
      <alignment vertical="center"/>
    </xf>
    <xf numFmtId="0" fontId="66" fillId="34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vertical="top" wrapText="1"/>
    </xf>
    <xf numFmtId="0" fontId="69" fillId="35" borderId="10" xfId="0" applyFont="1" applyFill="1" applyBorder="1" applyAlignment="1">
      <alignment vertical="top" wrapText="1"/>
    </xf>
    <xf numFmtId="0" fontId="67" fillId="35" borderId="10" xfId="0" applyFont="1" applyFill="1" applyBorder="1" applyAlignment="1">
      <alignment horizontal="center" vertical="top" wrapText="1"/>
    </xf>
    <xf numFmtId="0" fontId="68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 applyProtection="1">
      <alignment horizontal="center" vertical="top" wrapText="1"/>
      <protection locked="0"/>
    </xf>
    <xf numFmtId="0" fontId="16" fillId="36" borderId="10" xfId="0" applyFont="1" applyFill="1" applyBorder="1" applyAlignment="1" applyProtection="1">
      <alignment horizontal="left" vertical="top" wrapText="1"/>
      <protection locked="0"/>
    </xf>
    <xf numFmtId="0" fontId="17" fillId="36" borderId="10" xfId="0" applyFont="1" applyFill="1" applyBorder="1" applyAlignment="1" applyProtection="1">
      <alignment vertical="top" wrapText="1"/>
      <protection locked="0"/>
    </xf>
    <xf numFmtId="0" fontId="16" fillId="37" borderId="10" xfId="0" applyFont="1" applyFill="1" applyBorder="1" applyAlignment="1" applyProtection="1">
      <alignment horizontal="center" vertical="top" wrapText="1"/>
      <protection locked="0"/>
    </xf>
    <xf numFmtId="0" fontId="16" fillId="37" borderId="10" xfId="0" applyFont="1" applyFill="1" applyBorder="1" applyAlignment="1" applyProtection="1">
      <alignment horizontal="left" vertical="top" wrapText="1"/>
      <protection locked="0"/>
    </xf>
    <xf numFmtId="0" fontId="17" fillId="37" borderId="10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" fontId="6" fillId="33" borderId="10" xfId="0" applyNumberFormat="1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 textRotation="90"/>
      <protection/>
    </xf>
    <xf numFmtId="1" fontId="10" fillId="33" borderId="10" xfId="0" applyNumberFormat="1" applyFont="1" applyFill="1" applyBorder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" fontId="10" fillId="33" borderId="0" xfId="0" applyNumberFormat="1" applyFont="1" applyFill="1" applyBorder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 applyProtection="1">
      <alignment vertical="center"/>
      <protection hidden="1"/>
    </xf>
    <xf numFmtId="0" fontId="70" fillId="33" borderId="10" xfId="0" applyFont="1" applyFill="1" applyBorder="1" applyAlignment="1" applyProtection="1">
      <alignment horizontal="center" vertical="center"/>
      <protection hidden="1"/>
    </xf>
    <xf numFmtId="0" fontId="13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 applyProtection="1">
      <alignment vertical="center"/>
      <protection/>
    </xf>
    <xf numFmtId="0" fontId="72" fillId="33" borderId="10" xfId="0" applyFont="1" applyFill="1" applyBorder="1" applyAlignment="1" applyProtection="1">
      <alignment horizontal="center" vertical="center"/>
      <protection/>
    </xf>
    <xf numFmtId="0" fontId="19" fillId="39" borderId="10" xfId="0" applyFont="1" applyFill="1" applyBorder="1" applyAlignment="1">
      <alignment horizontal="center" vertical="top" wrapText="1"/>
    </xf>
    <xf numFmtId="0" fontId="0" fillId="39" borderId="10" xfId="0" applyFill="1" applyBorder="1" applyAlignment="1">
      <alignment vertical="top"/>
    </xf>
    <xf numFmtId="0" fontId="19" fillId="40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 vertical="top"/>
    </xf>
    <xf numFmtId="0" fontId="73" fillId="38" borderId="0" xfId="0" applyFont="1" applyFill="1" applyAlignment="1">
      <alignment horizontal="center" vertical="center"/>
    </xf>
    <xf numFmtId="0" fontId="74" fillId="38" borderId="0" xfId="0" applyFont="1" applyFill="1" applyAlignment="1">
      <alignment horizontal="center" vertical="center"/>
    </xf>
    <xf numFmtId="0" fontId="74" fillId="40" borderId="0" xfId="0" applyFont="1" applyFill="1" applyAlignment="1">
      <alignment horizontal="center" vertical="center" wrapText="1"/>
    </xf>
    <xf numFmtId="0" fontId="74" fillId="35" borderId="0" xfId="0" applyFont="1" applyFill="1" applyAlignment="1">
      <alignment horizontal="left" wrapText="1"/>
    </xf>
    <xf numFmtId="0" fontId="75" fillId="37" borderId="0" xfId="0" applyFont="1" applyFill="1" applyAlignment="1" quotePrefix="1">
      <alignment horizontal="center"/>
    </xf>
    <xf numFmtId="0" fontId="75" fillId="3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textRotation="90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0" zoomScaleNormal="70" zoomScalePageLayoutView="0" workbookViewId="0" topLeftCell="A1">
      <selection activeCell="D19" sqref="D19"/>
    </sheetView>
  </sheetViews>
  <sheetFormatPr defaultColWidth="9.140625" defaultRowHeight="12.75"/>
  <cols>
    <col min="1" max="1" width="7.8515625" style="0" customWidth="1"/>
    <col min="2" max="2" width="34.421875" style="0" customWidth="1"/>
    <col min="3" max="3" width="44.7109375" style="0" customWidth="1"/>
    <col min="4" max="4" width="17.28125" style="0" customWidth="1"/>
    <col min="5" max="5" width="16.7109375" style="0" customWidth="1"/>
    <col min="6" max="6" width="11.57421875" style="0" customWidth="1"/>
  </cols>
  <sheetData>
    <row r="1" spans="1:11" ht="75" customHeight="1">
      <c r="A1" s="55" t="s">
        <v>30</v>
      </c>
      <c r="B1" s="56"/>
      <c r="C1" s="56"/>
      <c r="D1" s="56"/>
      <c r="E1" s="56"/>
      <c r="F1" s="56"/>
      <c r="I1" s="65" t="s">
        <v>40</v>
      </c>
      <c r="J1" s="65"/>
      <c r="K1" s="65"/>
    </row>
    <row r="2" spans="1:19" ht="84" customHeight="1">
      <c r="A2" s="12" t="s">
        <v>19</v>
      </c>
      <c r="B2" s="10" t="s">
        <v>26</v>
      </c>
      <c r="C2" s="11" t="s">
        <v>27</v>
      </c>
      <c r="D2" s="9" t="s">
        <v>21</v>
      </c>
      <c r="E2" s="9" t="s">
        <v>20</v>
      </c>
      <c r="F2" s="9" t="s">
        <v>28</v>
      </c>
      <c r="I2" s="59" t="s">
        <v>35</v>
      </c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2.25" customHeight="1">
      <c r="A3" s="17">
        <v>1</v>
      </c>
      <c r="B3" s="18" t="s">
        <v>29</v>
      </c>
      <c r="C3" s="19" t="s">
        <v>24</v>
      </c>
      <c r="D3" s="18">
        <v>71100</v>
      </c>
      <c r="E3" s="18">
        <v>25910</v>
      </c>
      <c r="F3" s="17">
        <v>20</v>
      </c>
      <c r="I3" s="60" t="s">
        <v>36</v>
      </c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32.25" customHeight="1">
      <c r="A4" s="17">
        <v>2</v>
      </c>
      <c r="B4" s="18" t="s">
        <v>25</v>
      </c>
      <c r="C4" s="19" t="s">
        <v>24</v>
      </c>
      <c r="D4" s="18">
        <v>56100</v>
      </c>
      <c r="E4" s="18">
        <v>21290</v>
      </c>
      <c r="F4" s="17">
        <v>20</v>
      </c>
      <c r="I4" s="61" t="s">
        <v>37</v>
      </c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32.25" customHeight="1">
      <c r="A5" s="17">
        <v>3</v>
      </c>
      <c r="B5" s="18" t="s">
        <v>41</v>
      </c>
      <c r="C5" s="19" t="s">
        <v>24</v>
      </c>
      <c r="D5" s="18">
        <v>67200</v>
      </c>
      <c r="E5" s="18">
        <v>25590</v>
      </c>
      <c r="F5" s="17">
        <v>20</v>
      </c>
      <c r="I5" s="62" t="s">
        <v>38</v>
      </c>
      <c r="J5" s="62"/>
      <c r="K5" s="62"/>
      <c r="L5" s="62"/>
      <c r="M5" s="62"/>
      <c r="N5" s="62"/>
      <c r="O5" s="62"/>
      <c r="P5" s="63" t="s">
        <v>39</v>
      </c>
      <c r="Q5" s="64"/>
      <c r="R5" s="64"/>
      <c r="S5" s="64"/>
    </row>
    <row r="6" spans="1:6" ht="32.25" customHeight="1">
      <c r="A6" s="17">
        <v>4</v>
      </c>
      <c r="B6" s="18" t="s">
        <v>42</v>
      </c>
      <c r="C6" s="19" t="s">
        <v>24</v>
      </c>
      <c r="D6" s="18">
        <v>56100</v>
      </c>
      <c r="E6" s="18">
        <v>21270</v>
      </c>
      <c r="F6" s="17">
        <v>20</v>
      </c>
    </row>
    <row r="7" spans="1:6" ht="32.25" customHeight="1">
      <c r="A7" s="17">
        <v>5</v>
      </c>
      <c r="B7" s="18"/>
      <c r="C7" s="19"/>
      <c r="D7" s="18"/>
      <c r="E7" s="18"/>
      <c r="F7" s="17"/>
    </row>
    <row r="8" spans="1:6" ht="32.25" customHeight="1">
      <c r="A8" s="17">
        <v>6</v>
      </c>
      <c r="B8" s="18"/>
      <c r="C8" s="19"/>
      <c r="D8" s="18"/>
      <c r="E8" s="18"/>
      <c r="F8" s="17"/>
    </row>
    <row r="9" spans="1:6" ht="32.25" customHeight="1">
      <c r="A9" s="17">
        <v>7</v>
      </c>
      <c r="B9" s="18"/>
      <c r="C9" s="19"/>
      <c r="D9" s="18"/>
      <c r="E9" s="18"/>
      <c r="F9" s="17"/>
    </row>
    <row r="10" spans="1:6" ht="32.25" customHeight="1">
      <c r="A10" s="17">
        <v>8</v>
      </c>
      <c r="B10" s="18"/>
      <c r="C10" s="19"/>
      <c r="D10" s="18"/>
      <c r="E10" s="18"/>
      <c r="F10" s="17"/>
    </row>
    <row r="11" spans="1:6" ht="32.25" customHeight="1">
      <c r="A11" s="17">
        <v>9</v>
      </c>
      <c r="B11" s="18"/>
      <c r="C11" s="19"/>
      <c r="D11" s="18"/>
      <c r="E11" s="18"/>
      <c r="F11" s="17"/>
    </row>
    <row r="12" spans="1:6" ht="32.25" customHeight="1">
      <c r="A12" s="17">
        <v>10</v>
      </c>
      <c r="B12" s="18"/>
      <c r="C12" s="19"/>
      <c r="D12" s="18"/>
      <c r="E12" s="18"/>
      <c r="F12" s="17"/>
    </row>
    <row r="15" spans="1:6" ht="68.25" customHeight="1">
      <c r="A15" s="57" t="s">
        <v>31</v>
      </c>
      <c r="B15" s="58"/>
      <c r="C15" s="58"/>
      <c r="D15" s="58"/>
      <c r="E15" s="58"/>
      <c r="F15" s="58"/>
    </row>
    <row r="16" spans="1:6" ht="78.75">
      <c r="A16" s="13" t="s">
        <v>19</v>
      </c>
      <c r="B16" s="14" t="s">
        <v>26</v>
      </c>
      <c r="C16" s="15" t="s">
        <v>27</v>
      </c>
      <c r="D16" s="16" t="s">
        <v>21</v>
      </c>
      <c r="E16" s="16" t="s">
        <v>20</v>
      </c>
      <c r="F16" s="16" t="s">
        <v>28</v>
      </c>
    </row>
    <row r="17" spans="1:6" ht="30.75">
      <c r="A17" s="20">
        <v>1</v>
      </c>
      <c r="B17" s="21" t="s">
        <v>32</v>
      </c>
      <c r="C17" s="22" t="s">
        <v>24</v>
      </c>
      <c r="D17" s="21">
        <v>67300</v>
      </c>
      <c r="E17" s="21">
        <v>23480</v>
      </c>
      <c r="F17" s="20">
        <v>10</v>
      </c>
    </row>
    <row r="18" spans="1:6" ht="30.75" customHeight="1">
      <c r="A18" s="20">
        <v>2</v>
      </c>
      <c r="B18" s="21" t="s">
        <v>35</v>
      </c>
      <c r="C18" s="22" t="s">
        <v>24</v>
      </c>
      <c r="D18" s="21">
        <v>37800</v>
      </c>
      <c r="E18" s="21">
        <v>14430</v>
      </c>
      <c r="F18" s="20">
        <v>5</v>
      </c>
    </row>
    <row r="19" spans="1:6" ht="30.75" customHeight="1">
      <c r="A19" s="20">
        <v>3</v>
      </c>
      <c r="B19" s="21"/>
      <c r="C19" s="22"/>
      <c r="D19" s="21"/>
      <c r="E19" s="21"/>
      <c r="F19" s="20"/>
    </row>
    <row r="20" spans="1:6" ht="30.75" customHeight="1">
      <c r="A20" s="20">
        <v>4</v>
      </c>
      <c r="B20" s="21"/>
      <c r="C20" s="22"/>
      <c r="D20" s="21"/>
      <c r="E20" s="21"/>
      <c r="F20" s="20"/>
    </row>
    <row r="21" spans="1:6" ht="30.75" customHeight="1">
      <c r="A21" s="20">
        <v>5</v>
      </c>
      <c r="B21" s="21"/>
      <c r="C21" s="22"/>
      <c r="D21" s="21"/>
      <c r="E21" s="21"/>
      <c r="F21" s="20"/>
    </row>
    <row r="22" spans="1:6" ht="30.75" customHeight="1">
      <c r="A22" s="20">
        <v>6</v>
      </c>
      <c r="B22" s="21"/>
      <c r="C22" s="22"/>
      <c r="D22" s="21"/>
      <c r="E22" s="21"/>
      <c r="F22" s="20"/>
    </row>
    <row r="23" spans="1:6" ht="30.75" customHeight="1">
      <c r="A23" s="20">
        <v>7</v>
      </c>
      <c r="B23" s="21"/>
      <c r="C23" s="22"/>
      <c r="D23" s="21"/>
      <c r="E23" s="21"/>
      <c r="F23" s="20"/>
    </row>
    <row r="24" spans="1:6" ht="30.75" customHeight="1">
      <c r="A24" s="20">
        <v>8</v>
      </c>
      <c r="B24" s="21"/>
      <c r="C24" s="22"/>
      <c r="D24" s="21"/>
      <c r="E24" s="21"/>
      <c r="F24" s="20"/>
    </row>
    <row r="25" spans="1:6" ht="30.75" customHeight="1">
      <c r="A25" s="20">
        <v>9</v>
      </c>
      <c r="B25" s="21"/>
      <c r="C25" s="22"/>
      <c r="D25" s="21"/>
      <c r="E25" s="21"/>
      <c r="F25" s="20"/>
    </row>
    <row r="26" spans="1:6" ht="30.75" customHeight="1">
      <c r="A26" s="20">
        <v>10</v>
      </c>
      <c r="B26" s="21"/>
      <c r="C26" s="22"/>
      <c r="D26" s="21"/>
      <c r="E26" s="21"/>
      <c r="F26" s="20"/>
    </row>
  </sheetData>
  <sheetProtection password="A3CA" sheet="1"/>
  <mergeCells count="8">
    <mergeCell ref="A1:F1"/>
    <mergeCell ref="A15:F15"/>
    <mergeCell ref="I2:S2"/>
    <mergeCell ref="I3:S3"/>
    <mergeCell ref="I4:S4"/>
    <mergeCell ref="I5:O5"/>
    <mergeCell ref="P5:S5"/>
    <mergeCell ref="I1:K1"/>
  </mergeCells>
  <printOptions/>
  <pageMargins left="0.7" right="0.5" top="0.36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5"/>
  <sheetViews>
    <sheetView zoomScalePageLayoutView="0" workbookViewId="0" topLeftCell="A1">
      <selection activeCell="T2" sqref="T2"/>
    </sheetView>
  </sheetViews>
  <sheetFormatPr defaultColWidth="9.140625" defaultRowHeight="12.75"/>
  <cols>
    <col min="1" max="1" width="0.85546875" style="1" customWidth="1"/>
    <col min="2" max="2" width="4.140625" style="1" bestFit="1" customWidth="1"/>
    <col min="3" max="3" width="8.28125" style="2" bestFit="1" customWidth="1"/>
    <col min="4" max="4" width="7.28125" style="8" customWidth="1"/>
    <col min="5" max="17" width="7.28125" style="1" customWidth="1"/>
    <col min="18" max="18" width="9.00390625" style="1" customWidth="1"/>
    <col min="19" max="19" width="9.57421875" style="1" customWidth="1"/>
    <col min="20" max="20" width="14.57421875" style="1" customWidth="1"/>
    <col min="21" max="22" width="10.140625" style="1" customWidth="1"/>
    <col min="23" max="16384" width="9.140625" style="1" customWidth="1"/>
  </cols>
  <sheetData>
    <row r="1" spans="2:22" ht="43.5" customHeight="1">
      <c r="B1" s="70" t="str">
        <f>VLOOKUP('GPF EMPLOYEE'!T2,'MASTER CELL'!A2:T12,3,0)</f>
        <v>GOVT SENIOR SECONDARY SCHOOL KHEDLA JAGIR BARAN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3"/>
      <c r="V1" s="3"/>
    </row>
    <row r="2" spans="2:22" ht="49.5" customHeight="1">
      <c r="B2" s="84" t="s">
        <v>43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47" t="s">
        <v>23</v>
      </c>
      <c r="T2" s="48">
        <v>1</v>
      </c>
      <c r="U2" s="4"/>
      <c r="V2" s="4"/>
    </row>
    <row r="3" spans="2:22" ht="32.25" customHeight="1">
      <c r="B3" s="78" t="str">
        <f>VLOOKUP('GPF EMPLOYEE'!T2,'MASTER CELL'!A2:T12,2,0)</f>
        <v>MOHAN LAL NAYAK, PRINCIPAL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49" t="s">
        <v>22</v>
      </c>
      <c r="T3" s="50">
        <f>VLOOKUP('GPF EMPLOYEE'!T2,'MASTER CELL'!A2:T12,6,0)</f>
        <v>20</v>
      </c>
      <c r="U3" s="5"/>
      <c r="V3" s="5"/>
    </row>
    <row r="4" spans="2:22" ht="19.5" customHeight="1">
      <c r="B4" s="71" t="s">
        <v>8</v>
      </c>
      <c r="C4" s="72" t="s">
        <v>7</v>
      </c>
      <c r="D4" s="73" t="s">
        <v>0</v>
      </c>
      <c r="E4" s="73"/>
      <c r="F4" s="73"/>
      <c r="G4" s="73"/>
      <c r="H4" s="73" t="s">
        <v>5</v>
      </c>
      <c r="I4" s="73"/>
      <c r="J4" s="73"/>
      <c r="K4" s="73"/>
      <c r="L4" s="74" t="s">
        <v>6</v>
      </c>
      <c r="M4" s="75"/>
      <c r="N4" s="75"/>
      <c r="O4" s="76"/>
      <c r="P4" s="77" t="s">
        <v>18</v>
      </c>
      <c r="Q4" s="81" t="s">
        <v>9</v>
      </c>
      <c r="R4" s="66" t="s">
        <v>10</v>
      </c>
      <c r="S4" s="66" t="s">
        <v>17</v>
      </c>
      <c r="T4" s="68" t="s">
        <v>12</v>
      </c>
      <c r="U4" s="6"/>
      <c r="V4" s="6"/>
    </row>
    <row r="5" spans="2:22" ht="38.25" customHeight="1">
      <c r="B5" s="71"/>
      <c r="C5" s="72"/>
      <c r="D5" s="23" t="s">
        <v>1</v>
      </c>
      <c r="E5" s="24" t="s">
        <v>2</v>
      </c>
      <c r="F5" s="24" t="s">
        <v>3</v>
      </c>
      <c r="G5" s="24" t="s">
        <v>4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13</v>
      </c>
      <c r="M5" s="24" t="s">
        <v>14</v>
      </c>
      <c r="N5" s="24" t="s">
        <v>3</v>
      </c>
      <c r="O5" s="24" t="s">
        <v>15</v>
      </c>
      <c r="P5" s="77"/>
      <c r="Q5" s="82"/>
      <c r="R5" s="67"/>
      <c r="S5" s="67"/>
      <c r="T5" s="68"/>
      <c r="U5" s="6"/>
      <c r="V5" s="6"/>
    </row>
    <row r="6" spans="2:22" ht="21.75" customHeight="1">
      <c r="B6" s="25">
        <v>1</v>
      </c>
      <c r="C6" s="26">
        <v>42742</v>
      </c>
      <c r="D6" s="41">
        <f>VLOOKUP('GPF EMPLOYEE'!T2,'MASTER CELL'!A2:T12,4,0)</f>
        <v>71100</v>
      </c>
      <c r="E6" s="42">
        <f aca="true" t="shared" si="0" ref="E6:E11">ROUND(D6*4/100,0)</f>
        <v>2844</v>
      </c>
      <c r="F6" s="43">
        <v>0</v>
      </c>
      <c r="G6" s="42">
        <f>SUM(D6:F6)</f>
        <v>73944</v>
      </c>
      <c r="H6" s="41">
        <f>VLOOKUP('GPF EMPLOYEE'!T2,'MASTER CELL'!A2:T12,5,0)</f>
        <v>25910</v>
      </c>
      <c r="I6" s="42">
        <f aca="true" t="shared" si="1" ref="I6:I11">ROUND(H6*136/100,0)</f>
        <v>35238</v>
      </c>
      <c r="J6" s="42">
        <v>0</v>
      </c>
      <c r="K6" s="42">
        <f>SUM(H6:J6)</f>
        <v>61148</v>
      </c>
      <c r="L6" s="42">
        <f>D6*30%-H6*30%</f>
        <v>13557</v>
      </c>
      <c r="M6" s="42">
        <f>ROUND((E6*30%-I6*30%),0)</f>
        <v>-9718</v>
      </c>
      <c r="N6" s="42">
        <f>F7-J6</f>
        <v>0</v>
      </c>
      <c r="O6" s="42">
        <f>SUM(L6:N6)</f>
        <v>3839</v>
      </c>
      <c r="P6" s="44">
        <f>O6-Q6</f>
        <v>3071</v>
      </c>
      <c r="Q6" s="44">
        <f>ROUND(O6*T3/100,0)</f>
        <v>768</v>
      </c>
      <c r="R6" s="45">
        <f>SUM(P6:Q6)</f>
        <v>3839</v>
      </c>
      <c r="S6" s="45">
        <f>O6-R6</f>
        <v>0</v>
      </c>
      <c r="T6" s="37"/>
      <c r="U6" s="6"/>
      <c r="V6" s="6"/>
    </row>
    <row r="7" spans="2:22" ht="21.75" customHeight="1">
      <c r="B7" s="25">
        <v>2</v>
      </c>
      <c r="C7" s="26">
        <v>42773</v>
      </c>
      <c r="D7" s="46">
        <f>D6</f>
        <v>71100</v>
      </c>
      <c r="E7" s="42">
        <f t="shared" si="0"/>
        <v>2844</v>
      </c>
      <c r="F7" s="43">
        <v>0</v>
      </c>
      <c r="G7" s="42">
        <f>SUM(D7:F7)</f>
        <v>73944</v>
      </c>
      <c r="H7" s="46">
        <f>H6</f>
        <v>25910</v>
      </c>
      <c r="I7" s="42">
        <f t="shared" si="1"/>
        <v>35238</v>
      </c>
      <c r="J7" s="42">
        <v>0</v>
      </c>
      <c r="K7" s="42">
        <f aca="true" t="shared" si="2" ref="K7:K14">SUM(H7:J7)</f>
        <v>61148</v>
      </c>
      <c r="L7" s="42">
        <f aca="true" t="shared" si="3" ref="L7:L14">D7*30%-H7*30%</f>
        <v>13557</v>
      </c>
      <c r="M7" s="42">
        <f aca="true" t="shared" si="4" ref="M7:M14">ROUND((E7*30%-I7*30%),0)</f>
        <v>-9718</v>
      </c>
      <c r="N7" s="42">
        <v>0</v>
      </c>
      <c r="O7" s="42">
        <f aca="true" t="shared" si="5" ref="O7:O14">SUM(L7:N7)</f>
        <v>3839</v>
      </c>
      <c r="P7" s="44">
        <f aca="true" t="shared" si="6" ref="P7:P14">O7-Q7</f>
        <v>3071</v>
      </c>
      <c r="Q7" s="44">
        <f>ROUND(O7*T3/100,0)</f>
        <v>768</v>
      </c>
      <c r="R7" s="45">
        <f aca="true" t="shared" si="7" ref="R7:R14">SUM(P7:Q7)</f>
        <v>3839</v>
      </c>
      <c r="S7" s="45">
        <f aca="true" t="shared" si="8" ref="S7:S14">O7-R7</f>
        <v>0</v>
      </c>
      <c r="T7" s="37"/>
      <c r="U7" s="6"/>
      <c r="V7" s="6"/>
    </row>
    <row r="8" spans="2:22" ht="21.75" customHeight="1">
      <c r="B8" s="25">
        <v>3</v>
      </c>
      <c r="C8" s="26">
        <v>42801</v>
      </c>
      <c r="D8" s="46">
        <f>D7</f>
        <v>71100</v>
      </c>
      <c r="E8" s="42">
        <f t="shared" si="0"/>
        <v>2844</v>
      </c>
      <c r="F8" s="43">
        <v>0</v>
      </c>
      <c r="G8" s="42">
        <f aca="true" t="shared" si="9" ref="G8:G14">SUM(D8:F8)</f>
        <v>73944</v>
      </c>
      <c r="H8" s="46">
        <f>H7</f>
        <v>25910</v>
      </c>
      <c r="I8" s="42">
        <f>ROUND(H8*136/100,0)</f>
        <v>35238</v>
      </c>
      <c r="J8" s="42">
        <v>0</v>
      </c>
      <c r="K8" s="42">
        <f t="shared" si="2"/>
        <v>61148</v>
      </c>
      <c r="L8" s="42">
        <f t="shared" si="3"/>
        <v>13557</v>
      </c>
      <c r="M8" s="42">
        <f t="shared" si="4"/>
        <v>-9718</v>
      </c>
      <c r="N8" s="42">
        <f aca="true" t="shared" si="10" ref="N8:N14">F8-J8</f>
        <v>0</v>
      </c>
      <c r="O8" s="42">
        <f t="shared" si="5"/>
        <v>3839</v>
      </c>
      <c r="P8" s="44">
        <f t="shared" si="6"/>
        <v>3071</v>
      </c>
      <c r="Q8" s="44">
        <f>ROUND(O8*T3/100,0)</f>
        <v>768</v>
      </c>
      <c r="R8" s="45">
        <f t="shared" si="7"/>
        <v>3839</v>
      </c>
      <c r="S8" s="45">
        <f t="shared" si="8"/>
        <v>0</v>
      </c>
      <c r="T8" s="37"/>
      <c r="U8" s="6"/>
      <c r="V8" s="6"/>
    </row>
    <row r="9" spans="2:22" ht="21.75" customHeight="1">
      <c r="B9" s="25">
        <v>4</v>
      </c>
      <c r="C9" s="26">
        <v>42832</v>
      </c>
      <c r="D9" s="46">
        <f>D8</f>
        <v>71100</v>
      </c>
      <c r="E9" s="42">
        <f t="shared" si="0"/>
        <v>2844</v>
      </c>
      <c r="F9" s="43">
        <v>0</v>
      </c>
      <c r="G9" s="42">
        <f t="shared" si="9"/>
        <v>73944</v>
      </c>
      <c r="H9" s="46">
        <f>H8</f>
        <v>25910</v>
      </c>
      <c r="I9" s="42">
        <f>ROUND(H9*136/100,0)</f>
        <v>35238</v>
      </c>
      <c r="J9" s="42">
        <v>0</v>
      </c>
      <c r="K9" s="42">
        <f>SUM(H9:J9)</f>
        <v>61148</v>
      </c>
      <c r="L9" s="42">
        <f t="shared" si="3"/>
        <v>13557</v>
      </c>
      <c r="M9" s="42">
        <f t="shared" si="4"/>
        <v>-9718</v>
      </c>
      <c r="N9" s="42">
        <f t="shared" si="10"/>
        <v>0</v>
      </c>
      <c r="O9" s="42">
        <f t="shared" si="5"/>
        <v>3839</v>
      </c>
      <c r="P9" s="44">
        <f t="shared" si="6"/>
        <v>3071</v>
      </c>
      <c r="Q9" s="44">
        <f>ROUND(O9*T3/100,0)</f>
        <v>768</v>
      </c>
      <c r="R9" s="45">
        <f t="shared" si="7"/>
        <v>3839</v>
      </c>
      <c r="S9" s="45">
        <f t="shared" si="8"/>
        <v>0</v>
      </c>
      <c r="T9" s="37"/>
      <c r="U9" s="6"/>
      <c r="V9" s="6"/>
    </row>
    <row r="10" spans="2:22" ht="21.75" customHeight="1">
      <c r="B10" s="25">
        <v>5</v>
      </c>
      <c r="C10" s="26">
        <v>42862</v>
      </c>
      <c r="D10" s="46">
        <f>D9</f>
        <v>71100</v>
      </c>
      <c r="E10" s="42">
        <f t="shared" si="0"/>
        <v>2844</v>
      </c>
      <c r="F10" s="43">
        <v>0</v>
      </c>
      <c r="G10" s="42">
        <f t="shared" si="9"/>
        <v>73944</v>
      </c>
      <c r="H10" s="46">
        <f>H9</f>
        <v>25910</v>
      </c>
      <c r="I10" s="42">
        <f t="shared" si="1"/>
        <v>35238</v>
      </c>
      <c r="J10" s="42">
        <v>0</v>
      </c>
      <c r="K10" s="42">
        <f t="shared" si="2"/>
        <v>61148</v>
      </c>
      <c r="L10" s="42">
        <f t="shared" si="3"/>
        <v>13557</v>
      </c>
      <c r="M10" s="42">
        <f t="shared" si="4"/>
        <v>-9718</v>
      </c>
      <c r="N10" s="42">
        <f t="shared" si="10"/>
        <v>0</v>
      </c>
      <c r="O10" s="42">
        <f t="shared" si="5"/>
        <v>3839</v>
      </c>
      <c r="P10" s="44">
        <f t="shared" si="6"/>
        <v>3071</v>
      </c>
      <c r="Q10" s="44">
        <f>ROUND(O10*T3/100,0)</f>
        <v>768</v>
      </c>
      <c r="R10" s="45">
        <f t="shared" si="7"/>
        <v>3839</v>
      </c>
      <c r="S10" s="45">
        <f t="shared" si="8"/>
        <v>0</v>
      </c>
      <c r="T10" s="38"/>
      <c r="U10" s="6"/>
      <c r="V10" s="6"/>
    </row>
    <row r="11" spans="2:22" ht="21.75" customHeight="1">
      <c r="B11" s="25">
        <v>6</v>
      </c>
      <c r="C11" s="26">
        <v>42893</v>
      </c>
      <c r="D11" s="46">
        <f>D10</f>
        <v>71100</v>
      </c>
      <c r="E11" s="42">
        <f t="shared" si="0"/>
        <v>2844</v>
      </c>
      <c r="F11" s="43">
        <v>0</v>
      </c>
      <c r="G11" s="42">
        <f t="shared" si="9"/>
        <v>73944</v>
      </c>
      <c r="H11" s="46">
        <f>H10</f>
        <v>25910</v>
      </c>
      <c r="I11" s="42">
        <f t="shared" si="1"/>
        <v>35238</v>
      </c>
      <c r="J11" s="42">
        <v>0</v>
      </c>
      <c r="K11" s="42">
        <f t="shared" si="2"/>
        <v>61148</v>
      </c>
      <c r="L11" s="42">
        <f t="shared" si="3"/>
        <v>13557</v>
      </c>
      <c r="M11" s="42">
        <f t="shared" si="4"/>
        <v>-9718</v>
      </c>
      <c r="N11" s="42">
        <f t="shared" si="10"/>
        <v>0</v>
      </c>
      <c r="O11" s="42">
        <f t="shared" si="5"/>
        <v>3839</v>
      </c>
      <c r="P11" s="44">
        <f t="shared" si="6"/>
        <v>3071</v>
      </c>
      <c r="Q11" s="44">
        <f>ROUND(O11*T3/100,0)</f>
        <v>768</v>
      </c>
      <c r="R11" s="45">
        <f t="shared" si="7"/>
        <v>3839</v>
      </c>
      <c r="S11" s="45">
        <f t="shared" si="8"/>
        <v>0</v>
      </c>
      <c r="T11" s="38"/>
      <c r="U11" s="6"/>
      <c r="V11" s="6"/>
    </row>
    <row r="12" spans="2:22" ht="21.75" customHeight="1">
      <c r="B12" s="25">
        <v>7</v>
      </c>
      <c r="C12" s="26">
        <v>42923</v>
      </c>
      <c r="D12" s="46">
        <f>ROUND(D6*103%,-2)</f>
        <v>73200</v>
      </c>
      <c r="E12" s="42">
        <f>ROUND(D12*5/100,0)</f>
        <v>3660</v>
      </c>
      <c r="F12" s="43">
        <v>0</v>
      </c>
      <c r="G12" s="42">
        <f t="shared" si="9"/>
        <v>76860</v>
      </c>
      <c r="H12" s="46">
        <f>ROUNDUP((H6*103%),-1)</f>
        <v>26690</v>
      </c>
      <c r="I12" s="42">
        <f>ROUND(H12*139/100,0)</f>
        <v>37099</v>
      </c>
      <c r="J12" s="42">
        <v>0</v>
      </c>
      <c r="K12" s="42">
        <f t="shared" si="2"/>
        <v>63789</v>
      </c>
      <c r="L12" s="42">
        <f t="shared" si="3"/>
        <v>13953</v>
      </c>
      <c r="M12" s="42">
        <f t="shared" si="4"/>
        <v>-10032</v>
      </c>
      <c r="N12" s="42">
        <f t="shared" si="10"/>
        <v>0</v>
      </c>
      <c r="O12" s="42">
        <f t="shared" si="5"/>
        <v>3921</v>
      </c>
      <c r="P12" s="44">
        <f t="shared" si="6"/>
        <v>3137</v>
      </c>
      <c r="Q12" s="44">
        <f>ROUND(O12*T3/100,0)</f>
        <v>784</v>
      </c>
      <c r="R12" s="45">
        <f t="shared" si="7"/>
        <v>3921</v>
      </c>
      <c r="S12" s="45">
        <f t="shared" si="8"/>
        <v>0</v>
      </c>
      <c r="T12" s="38"/>
      <c r="U12" s="6"/>
      <c r="V12" s="6"/>
    </row>
    <row r="13" spans="2:22" ht="21.75" customHeight="1">
      <c r="B13" s="25">
        <v>8</v>
      </c>
      <c r="C13" s="26">
        <v>42954</v>
      </c>
      <c r="D13" s="46">
        <f>ROUND(D7*103%,-2)</f>
        <v>73200</v>
      </c>
      <c r="E13" s="42">
        <f>ROUND(D13*5/100,0)</f>
        <v>3660</v>
      </c>
      <c r="F13" s="43">
        <v>0</v>
      </c>
      <c r="G13" s="42">
        <f t="shared" si="9"/>
        <v>76860</v>
      </c>
      <c r="H13" s="46">
        <f>ROUNDUP((H7*103%),-1)</f>
        <v>26690</v>
      </c>
      <c r="I13" s="42">
        <f>ROUND(H13*139/100,0)</f>
        <v>37099</v>
      </c>
      <c r="J13" s="42">
        <v>0</v>
      </c>
      <c r="K13" s="42">
        <f t="shared" si="2"/>
        <v>63789</v>
      </c>
      <c r="L13" s="42">
        <f t="shared" si="3"/>
        <v>13953</v>
      </c>
      <c r="M13" s="42">
        <f t="shared" si="4"/>
        <v>-10032</v>
      </c>
      <c r="N13" s="42">
        <f t="shared" si="10"/>
        <v>0</v>
      </c>
      <c r="O13" s="42">
        <f t="shared" si="5"/>
        <v>3921</v>
      </c>
      <c r="P13" s="44">
        <f t="shared" si="6"/>
        <v>3137</v>
      </c>
      <c r="Q13" s="44">
        <f>ROUND(O13*T3/100,0)</f>
        <v>784</v>
      </c>
      <c r="R13" s="45">
        <f t="shared" si="7"/>
        <v>3921</v>
      </c>
      <c r="S13" s="45">
        <f t="shared" si="8"/>
        <v>0</v>
      </c>
      <c r="T13" s="38"/>
      <c r="U13" s="6"/>
      <c r="V13" s="6"/>
    </row>
    <row r="14" spans="2:22" ht="21.75" customHeight="1">
      <c r="B14" s="25">
        <v>9</v>
      </c>
      <c r="C14" s="26">
        <v>42985</v>
      </c>
      <c r="D14" s="46">
        <f>ROUND(D8*103%,-2)</f>
        <v>73200</v>
      </c>
      <c r="E14" s="42">
        <f>ROUND(D14*5/100,0)</f>
        <v>3660</v>
      </c>
      <c r="F14" s="43">
        <v>0</v>
      </c>
      <c r="G14" s="42">
        <f t="shared" si="9"/>
        <v>76860</v>
      </c>
      <c r="H14" s="46">
        <f>ROUNDUP((H8*103%),-1)</f>
        <v>26690</v>
      </c>
      <c r="I14" s="42">
        <f>ROUND(H14*139/100,0)</f>
        <v>37099</v>
      </c>
      <c r="J14" s="42">
        <v>0</v>
      </c>
      <c r="K14" s="42">
        <f t="shared" si="2"/>
        <v>63789</v>
      </c>
      <c r="L14" s="42">
        <f t="shared" si="3"/>
        <v>13953</v>
      </c>
      <c r="M14" s="42">
        <f t="shared" si="4"/>
        <v>-10032</v>
      </c>
      <c r="N14" s="42">
        <f t="shared" si="10"/>
        <v>0</v>
      </c>
      <c r="O14" s="42">
        <f t="shared" si="5"/>
        <v>3921</v>
      </c>
      <c r="P14" s="44">
        <f t="shared" si="6"/>
        <v>3137</v>
      </c>
      <c r="Q14" s="44">
        <f>ROUND(O14*T3/100,0)</f>
        <v>784</v>
      </c>
      <c r="R14" s="45">
        <f t="shared" si="7"/>
        <v>3921</v>
      </c>
      <c r="S14" s="45">
        <f t="shared" si="8"/>
        <v>0</v>
      </c>
      <c r="T14" s="38"/>
      <c r="U14" s="6"/>
      <c r="V14" s="6"/>
    </row>
    <row r="15" spans="2:22" ht="72.75" customHeight="1">
      <c r="B15" s="69" t="s">
        <v>4</v>
      </c>
      <c r="C15" s="69"/>
      <c r="D15" s="27">
        <f aca="true" t="shared" si="11" ref="D15:S15">SUM(D6:D14)</f>
        <v>646200</v>
      </c>
      <c r="E15" s="28">
        <f t="shared" si="11"/>
        <v>28044</v>
      </c>
      <c r="F15" s="27">
        <f t="shared" si="11"/>
        <v>0</v>
      </c>
      <c r="G15" s="27">
        <f t="shared" si="11"/>
        <v>674244</v>
      </c>
      <c r="H15" s="27">
        <f t="shared" si="11"/>
        <v>235530</v>
      </c>
      <c r="I15" s="28">
        <f t="shared" si="11"/>
        <v>322725</v>
      </c>
      <c r="J15" s="27">
        <f t="shared" si="11"/>
        <v>0</v>
      </c>
      <c r="K15" s="27">
        <f t="shared" si="11"/>
        <v>558255</v>
      </c>
      <c r="L15" s="27">
        <f t="shared" si="11"/>
        <v>123201</v>
      </c>
      <c r="M15" s="28">
        <f t="shared" si="11"/>
        <v>-88404</v>
      </c>
      <c r="N15" s="27">
        <f t="shared" si="11"/>
        <v>0</v>
      </c>
      <c r="O15" s="27">
        <f t="shared" si="11"/>
        <v>34797</v>
      </c>
      <c r="P15" s="28">
        <f t="shared" si="11"/>
        <v>27837</v>
      </c>
      <c r="Q15" s="28">
        <f t="shared" si="11"/>
        <v>6960</v>
      </c>
      <c r="R15" s="28">
        <f t="shared" si="11"/>
        <v>34797</v>
      </c>
      <c r="S15" s="28">
        <f t="shared" si="11"/>
        <v>0</v>
      </c>
      <c r="T15" s="28"/>
      <c r="U15" s="7"/>
      <c r="V15" s="7"/>
    </row>
  </sheetData>
  <sheetProtection password="FC12" sheet="1"/>
  <mergeCells count="14">
    <mergeCell ref="P4:P5"/>
    <mergeCell ref="B3:R3"/>
    <mergeCell ref="B2:R2"/>
    <mergeCell ref="Q4:Q5"/>
    <mergeCell ref="R4:R5"/>
    <mergeCell ref="S4:S5"/>
    <mergeCell ref="T4:T5"/>
    <mergeCell ref="B15:C15"/>
    <mergeCell ref="B1:T1"/>
    <mergeCell ref="B4:B5"/>
    <mergeCell ref="C4:C5"/>
    <mergeCell ref="D4:G4"/>
    <mergeCell ref="H4:K4"/>
    <mergeCell ref="L4:O4"/>
  </mergeCells>
  <printOptions/>
  <pageMargins left="0.45" right="0.41" top="0.33" bottom="0.33" header="0.3" footer="0.3"/>
  <pageSetup horizontalDpi="600" verticalDpi="600" orientation="landscape" paperSize="9" scale="95" r:id="rId1"/>
  <headerFooter>
    <oddFooter>&amp;L&amp;"Arial Black,Regular"Created By: PARMANAND MEGHWAL 9784379510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15"/>
  <sheetViews>
    <sheetView zoomScalePageLayoutView="0" workbookViewId="0" topLeftCell="A1">
      <selection activeCell="B2" sqref="B2:R2"/>
    </sheetView>
  </sheetViews>
  <sheetFormatPr defaultColWidth="9.140625" defaultRowHeight="12.75"/>
  <cols>
    <col min="1" max="1" width="0.85546875" style="29" customWidth="1"/>
    <col min="2" max="2" width="4.140625" style="29" bestFit="1" customWidth="1"/>
    <col min="3" max="3" width="8.28125" style="35" bestFit="1" customWidth="1"/>
    <col min="4" max="4" width="7.28125" style="36" customWidth="1"/>
    <col min="5" max="17" width="7.28125" style="29" customWidth="1"/>
    <col min="18" max="19" width="9.00390625" style="29" customWidth="1"/>
    <col min="20" max="20" width="14.57421875" style="29" customWidth="1"/>
    <col min="21" max="22" width="10.140625" style="29" customWidth="1"/>
    <col min="23" max="16384" width="9.140625" style="29" customWidth="1"/>
  </cols>
  <sheetData>
    <row r="1" spans="2:22" ht="43.5" customHeight="1">
      <c r="B1" s="70" t="str">
        <f>VLOOKUP(T2,'MASTER CELL'!A16:L26,3,0)</f>
        <v>GOVT SENIOR SECONDARY SCHOOL KHEDLA JAGIR BARAN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30"/>
      <c r="V1" s="30"/>
    </row>
    <row r="2" spans="2:22" ht="48.75" customHeight="1">
      <c r="B2" s="84" t="s">
        <v>44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51" t="s">
        <v>34</v>
      </c>
      <c r="T2" s="52">
        <v>2</v>
      </c>
      <c r="U2" s="31"/>
      <c r="V2" s="31"/>
    </row>
    <row r="3" spans="2:22" ht="32.25" customHeight="1">
      <c r="B3" s="78" t="str">
        <f>VLOOKUP(T2,'MASTER CELL'!A16:L26,2,0)</f>
        <v>PARMANAND MEGHWAL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53" t="s">
        <v>33</v>
      </c>
      <c r="T3" s="54">
        <f>VLOOKUP(T2,'MASTER CELL'!A16:L26,6,0)</f>
        <v>5</v>
      </c>
      <c r="U3" s="32"/>
      <c r="V3" s="32"/>
    </row>
    <row r="4" spans="2:22" ht="19.5" customHeight="1">
      <c r="B4" s="71" t="s">
        <v>8</v>
      </c>
      <c r="C4" s="72" t="s">
        <v>7</v>
      </c>
      <c r="D4" s="73" t="s">
        <v>0</v>
      </c>
      <c r="E4" s="73"/>
      <c r="F4" s="73"/>
      <c r="G4" s="73"/>
      <c r="H4" s="73" t="s">
        <v>5</v>
      </c>
      <c r="I4" s="73"/>
      <c r="J4" s="73"/>
      <c r="K4" s="73"/>
      <c r="L4" s="74" t="s">
        <v>6</v>
      </c>
      <c r="M4" s="75"/>
      <c r="N4" s="75"/>
      <c r="O4" s="76"/>
      <c r="P4" s="77" t="s">
        <v>16</v>
      </c>
      <c r="Q4" s="81" t="s">
        <v>9</v>
      </c>
      <c r="R4" s="66" t="s">
        <v>10</v>
      </c>
      <c r="S4" s="66" t="s">
        <v>11</v>
      </c>
      <c r="T4" s="83" t="s">
        <v>12</v>
      </c>
      <c r="U4" s="33"/>
      <c r="V4" s="33"/>
    </row>
    <row r="5" spans="2:22" ht="38.25" customHeight="1">
      <c r="B5" s="71"/>
      <c r="C5" s="72"/>
      <c r="D5" s="23" t="s">
        <v>1</v>
      </c>
      <c r="E5" s="24" t="s">
        <v>2</v>
      </c>
      <c r="F5" s="24" t="s">
        <v>3</v>
      </c>
      <c r="G5" s="24" t="s">
        <v>4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13</v>
      </c>
      <c r="M5" s="24" t="s">
        <v>14</v>
      </c>
      <c r="N5" s="24" t="s">
        <v>3</v>
      </c>
      <c r="O5" s="24" t="s">
        <v>15</v>
      </c>
      <c r="P5" s="77"/>
      <c r="Q5" s="82"/>
      <c r="R5" s="67"/>
      <c r="S5" s="67"/>
      <c r="T5" s="83"/>
      <c r="U5" s="33"/>
      <c r="V5" s="33"/>
    </row>
    <row r="6" spans="2:22" ht="21.75" customHeight="1">
      <c r="B6" s="25">
        <v>1</v>
      </c>
      <c r="C6" s="26">
        <v>42742</v>
      </c>
      <c r="D6" s="41">
        <f>VLOOKUP(T2,'MASTER CELL'!A16:L26,4,0)</f>
        <v>37800</v>
      </c>
      <c r="E6" s="42">
        <f aca="true" t="shared" si="0" ref="E6:E11">ROUND(D6*4/100,0)</f>
        <v>1512</v>
      </c>
      <c r="F6" s="43">
        <v>0</v>
      </c>
      <c r="G6" s="42">
        <f>SUM(D6:F6)</f>
        <v>39312</v>
      </c>
      <c r="H6" s="41">
        <f>VLOOKUP(T2,'MASTER CELL'!A16:L26,5,0)</f>
        <v>14430</v>
      </c>
      <c r="I6" s="42">
        <f aca="true" t="shared" si="1" ref="I6:I11">ROUND(H6*136/100,0)</f>
        <v>19625</v>
      </c>
      <c r="J6" s="42">
        <v>0</v>
      </c>
      <c r="K6" s="42">
        <f>SUM(H6:J6)</f>
        <v>34055</v>
      </c>
      <c r="L6" s="42">
        <f>D6*30%-H6*30%</f>
        <v>7011</v>
      </c>
      <c r="M6" s="42">
        <f>ROUND((E6*30%-I6*30%),0)</f>
        <v>-5434</v>
      </c>
      <c r="N6" s="42">
        <f>F7-J6</f>
        <v>0</v>
      </c>
      <c r="O6" s="42">
        <f>SUM(L6:N6)</f>
        <v>1577</v>
      </c>
      <c r="P6" s="44">
        <f>ROUND(O6*10/100,0)</f>
        <v>158</v>
      </c>
      <c r="Q6" s="45">
        <f>ROUND((O6-P6)*T3/100,0)</f>
        <v>71</v>
      </c>
      <c r="R6" s="45">
        <f>SUM(P6:Q6)</f>
        <v>229</v>
      </c>
      <c r="S6" s="45">
        <f>O6-R6</f>
        <v>1348</v>
      </c>
      <c r="T6" s="39"/>
      <c r="U6" s="33"/>
      <c r="V6" s="33"/>
    </row>
    <row r="7" spans="2:22" ht="21.75" customHeight="1">
      <c r="B7" s="25">
        <v>2</v>
      </c>
      <c r="C7" s="26">
        <v>42773</v>
      </c>
      <c r="D7" s="46">
        <f>D6</f>
        <v>37800</v>
      </c>
      <c r="E7" s="42">
        <f t="shared" si="0"/>
        <v>1512</v>
      </c>
      <c r="F7" s="43">
        <v>0</v>
      </c>
      <c r="G7" s="42">
        <f>SUM(D7:F7)</f>
        <v>39312</v>
      </c>
      <c r="H7" s="46">
        <f>H6</f>
        <v>14430</v>
      </c>
      <c r="I7" s="42">
        <f t="shared" si="1"/>
        <v>19625</v>
      </c>
      <c r="J7" s="42">
        <v>0</v>
      </c>
      <c r="K7" s="42">
        <f aca="true" t="shared" si="2" ref="K7:K14">SUM(H7:J7)</f>
        <v>34055</v>
      </c>
      <c r="L7" s="42">
        <f aca="true" t="shared" si="3" ref="L7:L14">D7*30%-H7*30%</f>
        <v>7011</v>
      </c>
      <c r="M7" s="42">
        <f aca="true" t="shared" si="4" ref="M7:M14">ROUND((E7*30%-I7*30%),0)</f>
        <v>-5434</v>
      </c>
      <c r="N7" s="42">
        <v>0</v>
      </c>
      <c r="O7" s="42">
        <f aca="true" t="shared" si="5" ref="O7:O14">SUM(L7:N7)</f>
        <v>1577</v>
      </c>
      <c r="P7" s="44">
        <f aca="true" t="shared" si="6" ref="P7:P14">ROUND(O7*10/100,0)</f>
        <v>158</v>
      </c>
      <c r="Q7" s="45">
        <f>ROUND((O7-P7)*T3/100,0)</f>
        <v>71</v>
      </c>
      <c r="R7" s="45">
        <f aca="true" t="shared" si="7" ref="R7:R14">SUM(P7:Q7)</f>
        <v>229</v>
      </c>
      <c r="S7" s="45">
        <f aca="true" t="shared" si="8" ref="S7:S14">O7-R7</f>
        <v>1348</v>
      </c>
      <c r="T7" s="39"/>
      <c r="U7" s="33"/>
      <c r="V7" s="33"/>
    </row>
    <row r="8" spans="2:22" ht="21.75" customHeight="1">
      <c r="B8" s="25">
        <v>3</v>
      </c>
      <c r="C8" s="26">
        <v>42801</v>
      </c>
      <c r="D8" s="46">
        <f>D7</f>
        <v>37800</v>
      </c>
      <c r="E8" s="42">
        <f t="shared" si="0"/>
        <v>1512</v>
      </c>
      <c r="F8" s="43">
        <v>0</v>
      </c>
      <c r="G8" s="42">
        <f aca="true" t="shared" si="9" ref="G8:G14">SUM(D8:F8)</f>
        <v>39312</v>
      </c>
      <c r="H8" s="46">
        <f>H7</f>
        <v>14430</v>
      </c>
      <c r="I8" s="42">
        <f>ROUND(H8*136/100,0)</f>
        <v>19625</v>
      </c>
      <c r="J8" s="42">
        <v>0</v>
      </c>
      <c r="K8" s="42">
        <f t="shared" si="2"/>
        <v>34055</v>
      </c>
      <c r="L8" s="42">
        <f t="shared" si="3"/>
        <v>7011</v>
      </c>
      <c r="M8" s="42">
        <f t="shared" si="4"/>
        <v>-5434</v>
      </c>
      <c r="N8" s="42">
        <f aca="true" t="shared" si="10" ref="N8:N14">F8-J8</f>
        <v>0</v>
      </c>
      <c r="O8" s="42">
        <f t="shared" si="5"/>
        <v>1577</v>
      </c>
      <c r="P8" s="44">
        <f t="shared" si="6"/>
        <v>158</v>
      </c>
      <c r="Q8" s="45">
        <f>ROUND((O8-P8)*T3/100,0)</f>
        <v>71</v>
      </c>
      <c r="R8" s="45">
        <f t="shared" si="7"/>
        <v>229</v>
      </c>
      <c r="S8" s="45">
        <f t="shared" si="8"/>
        <v>1348</v>
      </c>
      <c r="T8" s="39"/>
      <c r="U8" s="33"/>
      <c r="V8" s="33"/>
    </row>
    <row r="9" spans="2:22" ht="21.75" customHeight="1">
      <c r="B9" s="25">
        <v>4</v>
      </c>
      <c r="C9" s="26">
        <v>42832</v>
      </c>
      <c r="D9" s="46">
        <f>D8</f>
        <v>37800</v>
      </c>
      <c r="E9" s="42">
        <f t="shared" si="0"/>
        <v>1512</v>
      </c>
      <c r="F9" s="43">
        <v>0</v>
      </c>
      <c r="G9" s="42">
        <f t="shared" si="9"/>
        <v>39312</v>
      </c>
      <c r="H9" s="46">
        <f>H8</f>
        <v>14430</v>
      </c>
      <c r="I9" s="42">
        <f>ROUND(H9*136/100,0)</f>
        <v>19625</v>
      </c>
      <c r="J9" s="42">
        <v>0</v>
      </c>
      <c r="K9" s="42">
        <f>SUM(H9:J9)</f>
        <v>34055</v>
      </c>
      <c r="L9" s="42">
        <f t="shared" si="3"/>
        <v>7011</v>
      </c>
      <c r="M9" s="42">
        <f t="shared" si="4"/>
        <v>-5434</v>
      </c>
      <c r="N9" s="42">
        <f t="shared" si="10"/>
        <v>0</v>
      </c>
      <c r="O9" s="42">
        <f t="shared" si="5"/>
        <v>1577</v>
      </c>
      <c r="P9" s="44">
        <f t="shared" si="6"/>
        <v>158</v>
      </c>
      <c r="Q9" s="45">
        <f>ROUND((O9-P9)*T3/100,0)</f>
        <v>71</v>
      </c>
      <c r="R9" s="45">
        <f t="shared" si="7"/>
        <v>229</v>
      </c>
      <c r="S9" s="45">
        <f t="shared" si="8"/>
        <v>1348</v>
      </c>
      <c r="T9" s="39"/>
      <c r="U9" s="33"/>
      <c r="V9" s="33"/>
    </row>
    <row r="10" spans="2:22" ht="21.75" customHeight="1">
      <c r="B10" s="25">
        <v>5</v>
      </c>
      <c r="C10" s="26">
        <v>42862</v>
      </c>
      <c r="D10" s="46">
        <f>D9</f>
        <v>37800</v>
      </c>
      <c r="E10" s="42">
        <f t="shared" si="0"/>
        <v>1512</v>
      </c>
      <c r="F10" s="43">
        <v>0</v>
      </c>
      <c r="G10" s="42">
        <f t="shared" si="9"/>
        <v>39312</v>
      </c>
      <c r="H10" s="46">
        <f>H9</f>
        <v>14430</v>
      </c>
      <c r="I10" s="42">
        <f t="shared" si="1"/>
        <v>19625</v>
      </c>
      <c r="J10" s="42">
        <v>0</v>
      </c>
      <c r="K10" s="42">
        <f t="shared" si="2"/>
        <v>34055</v>
      </c>
      <c r="L10" s="42">
        <f t="shared" si="3"/>
        <v>7011</v>
      </c>
      <c r="M10" s="42">
        <f t="shared" si="4"/>
        <v>-5434</v>
      </c>
      <c r="N10" s="42">
        <f t="shared" si="10"/>
        <v>0</v>
      </c>
      <c r="O10" s="42">
        <f t="shared" si="5"/>
        <v>1577</v>
      </c>
      <c r="P10" s="44">
        <f t="shared" si="6"/>
        <v>158</v>
      </c>
      <c r="Q10" s="45">
        <f>ROUND((O10-P10)*T3/100,0)</f>
        <v>71</v>
      </c>
      <c r="R10" s="45">
        <f t="shared" si="7"/>
        <v>229</v>
      </c>
      <c r="S10" s="45">
        <f t="shared" si="8"/>
        <v>1348</v>
      </c>
      <c r="T10" s="40"/>
      <c r="U10" s="33"/>
      <c r="V10" s="33"/>
    </row>
    <row r="11" spans="2:22" ht="21.75" customHeight="1">
      <c r="B11" s="25">
        <v>6</v>
      </c>
      <c r="C11" s="26">
        <v>42893</v>
      </c>
      <c r="D11" s="46">
        <f>D10</f>
        <v>37800</v>
      </c>
      <c r="E11" s="42">
        <f t="shared" si="0"/>
        <v>1512</v>
      </c>
      <c r="F11" s="43">
        <v>0</v>
      </c>
      <c r="G11" s="42">
        <f t="shared" si="9"/>
        <v>39312</v>
      </c>
      <c r="H11" s="46">
        <f>H10</f>
        <v>14430</v>
      </c>
      <c r="I11" s="42">
        <f t="shared" si="1"/>
        <v>19625</v>
      </c>
      <c r="J11" s="42">
        <v>0</v>
      </c>
      <c r="K11" s="42">
        <f t="shared" si="2"/>
        <v>34055</v>
      </c>
      <c r="L11" s="42">
        <f t="shared" si="3"/>
        <v>7011</v>
      </c>
      <c r="M11" s="42">
        <f t="shared" si="4"/>
        <v>-5434</v>
      </c>
      <c r="N11" s="42">
        <f t="shared" si="10"/>
        <v>0</v>
      </c>
      <c r="O11" s="42">
        <f t="shared" si="5"/>
        <v>1577</v>
      </c>
      <c r="P11" s="44">
        <f t="shared" si="6"/>
        <v>158</v>
      </c>
      <c r="Q11" s="45">
        <f>ROUND((O11-P11)*T3/100,0)</f>
        <v>71</v>
      </c>
      <c r="R11" s="45">
        <f t="shared" si="7"/>
        <v>229</v>
      </c>
      <c r="S11" s="45">
        <f t="shared" si="8"/>
        <v>1348</v>
      </c>
      <c r="T11" s="40"/>
      <c r="U11" s="33"/>
      <c r="V11" s="33"/>
    </row>
    <row r="12" spans="2:22" ht="21.75" customHeight="1">
      <c r="B12" s="25">
        <v>7</v>
      </c>
      <c r="C12" s="26">
        <v>42923</v>
      </c>
      <c r="D12" s="46">
        <f>ROUND(D6*103%,-2)</f>
        <v>38900</v>
      </c>
      <c r="E12" s="42">
        <f>ROUND(D12*5/100,0)</f>
        <v>1945</v>
      </c>
      <c r="F12" s="43">
        <v>0</v>
      </c>
      <c r="G12" s="42">
        <f t="shared" si="9"/>
        <v>40845</v>
      </c>
      <c r="H12" s="46">
        <f>ROUNDUP((H6*103%),-1)</f>
        <v>14870</v>
      </c>
      <c r="I12" s="42">
        <f>ROUND(H12*139/100,0)</f>
        <v>20669</v>
      </c>
      <c r="J12" s="42">
        <v>0</v>
      </c>
      <c r="K12" s="42">
        <f t="shared" si="2"/>
        <v>35539</v>
      </c>
      <c r="L12" s="42">
        <f t="shared" si="3"/>
        <v>7209</v>
      </c>
      <c r="M12" s="42">
        <f t="shared" si="4"/>
        <v>-5617</v>
      </c>
      <c r="N12" s="42">
        <f t="shared" si="10"/>
        <v>0</v>
      </c>
      <c r="O12" s="42">
        <f t="shared" si="5"/>
        <v>1592</v>
      </c>
      <c r="P12" s="44">
        <f t="shared" si="6"/>
        <v>159</v>
      </c>
      <c r="Q12" s="45">
        <f>ROUND((O12-P12)*T3/100,0)</f>
        <v>72</v>
      </c>
      <c r="R12" s="45">
        <f t="shared" si="7"/>
        <v>231</v>
      </c>
      <c r="S12" s="45">
        <f t="shared" si="8"/>
        <v>1361</v>
      </c>
      <c r="T12" s="40"/>
      <c r="U12" s="33"/>
      <c r="V12" s="33"/>
    </row>
    <row r="13" spans="2:22" ht="21.75" customHeight="1">
      <c r="B13" s="25">
        <v>8</v>
      </c>
      <c r="C13" s="26">
        <v>42954</v>
      </c>
      <c r="D13" s="46">
        <f>ROUND(D7*103%,-2)</f>
        <v>38900</v>
      </c>
      <c r="E13" s="42">
        <f>ROUND(D13*5/100,0)</f>
        <v>1945</v>
      </c>
      <c r="F13" s="43">
        <v>0</v>
      </c>
      <c r="G13" s="42">
        <f t="shared" si="9"/>
        <v>40845</v>
      </c>
      <c r="H13" s="46">
        <f>ROUNDUP((H7*103%),-1)</f>
        <v>14870</v>
      </c>
      <c r="I13" s="42">
        <f>ROUND(H13*139/100,0)</f>
        <v>20669</v>
      </c>
      <c r="J13" s="42">
        <v>0</v>
      </c>
      <c r="K13" s="42">
        <f t="shared" si="2"/>
        <v>35539</v>
      </c>
      <c r="L13" s="42">
        <f t="shared" si="3"/>
        <v>7209</v>
      </c>
      <c r="M13" s="42">
        <f t="shared" si="4"/>
        <v>-5617</v>
      </c>
      <c r="N13" s="42">
        <f t="shared" si="10"/>
        <v>0</v>
      </c>
      <c r="O13" s="42">
        <f t="shared" si="5"/>
        <v>1592</v>
      </c>
      <c r="P13" s="44">
        <f t="shared" si="6"/>
        <v>159</v>
      </c>
      <c r="Q13" s="45">
        <f>ROUND((O13-P13)*T3/100,0)</f>
        <v>72</v>
      </c>
      <c r="R13" s="45">
        <f t="shared" si="7"/>
        <v>231</v>
      </c>
      <c r="S13" s="45">
        <f t="shared" si="8"/>
        <v>1361</v>
      </c>
      <c r="T13" s="40"/>
      <c r="U13" s="33"/>
      <c r="V13" s="33"/>
    </row>
    <row r="14" spans="2:22" ht="21.75" customHeight="1">
      <c r="B14" s="25">
        <v>9</v>
      </c>
      <c r="C14" s="26">
        <v>42985</v>
      </c>
      <c r="D14" s="46">
        <f>ROUND(D8*103%,-2)</f>
        <v>38900</v>
      </c>
      <c r="E14" s="42">
        <f>ROUND(D14*5/100,0)</f>
        <v>1945</v>
      </c>
      <c r="F14" s="43">
        <v>0</v>
      </c>
      <c r="G14" s="42">
        <f t="shared" si="9"/>
        <v>40845</v>
      </c>
      <c r="H14" s="46">
        <f>ROUNDUP((H8*103%),-1)</f>
        <v>14870</v>
      </c>
      <c r="I14" s="42">
        <f>ROUND(H14*139/100,0)</f>
        <v>20669</v>
      </c>
      <c r="J14" s="42">
        <v>0</v>
      </c>
      <c r="K14" s="42">
        <f t="shared" si="2"/>
        <v>35539</v>
      </c>
      <c r="L14" s="42">
        <f t="shared" si="3"/>
        <v>7209</v>
      </c>
      <c r="M14" s="42">
        <f t="shared" si="4"/>
        <v>-5617</v>
      </c>
      <c r="N14" s="42">
        <f t="shared" si="10"/>
        <v>0</v>
      </c>
      <c r="O14" s="42">
        <f t="shared" si="5"/>
        <v>1592</v>
      </c>
      <c r="P14" s="44">
        <f t="shared" si="6"/>
        <v>159</v>
      </c>
      <c r="Q14" s="45">
        <f>ROUND((O14-P14)*T3/100,0)</f>
        <v>72</v>
      </c>
      <c r="R14" s="45">
        <f t="shared" si="7"/>
        <v>231</v>
      </c>
      <c r="S14" s="45">
        <f t="shared" si="8"/>
        <v>1361</v>
      </c>
      <c r="T14" s="40"/>
      <c r="U14" s="33"/>
      <c r="V14" s="33"/>
    </row>
    <row r="15" spans="2:22" ht="72.75" customHeight="1">
      <c r="B15" s="69" t="s">
        <v>4</v>
      </c>
      <c r="C15" s="69"/>
      <c r="D15" s="27">
        <f aca="true" t="shared" si="11" ref="D15:S15">SUM(D6:D14)</f>
        <v>343500</v>
      </c>
      <c r="E15" s="28">
        <f t="shared" si="11"/>
        <v>14907</v>
      </c>
      <c r="F15" s="27">
        <f t="shared" si="11"/>
        <v>0</v>
      </c>
      <c r="G15" s="27">
        <f t="shared" si="11"/>
        <v>358407</v>
      </c>
      <c r="H15" s="27">
        <f t="shared" si="11"/>
        <v>131190</v>
      </c>
      <c r="I15" s="28">
        <f t="shared" si="11"/>
        <v>179757</v>
      </c>
      <c r="J15" s="27">
        <f>SUM(J6:J14)</f>
        <v>0</v>
      </c>
      <c r="K15" s="27">
        <f t="shared" si="11"/>
        <v>310947</v>
      </c>
      <c r="L15" s="27">
        <f t="shared" si="11"/>
        <v>63693</v>
      </c>
      <c r="M15" s="28">
        <f t="shared" si="11"/>
        <v>-49455</v>
      </c>
      <c r="N15" s="27">
        <f t="shared" si="11"/>
        <v>0</v>
      </c>
      <c r="O15" s="27">
        <f t="shared" si="11"/>
        <v>14238</v>
      </c>
      <c r="P15" s="28">
        <f t="shared" si="11"/>
        <v>1425</v>
      </c>
      <c r="Q15" s="28">
        <f t="shared" si="11"/>
        <v>642</v>
      </c>
      <c r="R15" s="28">
        <f t="shared" si="11"/>
        <v>2067</v>
      </c>
      <c r="S15" s="28">
        <f t="shared" si="11"/>
        <v>12171</v>
      </c>
      <c r="T15" s="28"/>
      <c r="U15" s="34"/>
      <c r="V15" s="34"/>
    </row>
  </sheetData>
  <sheetProtection password="FC12" sheet="1"/>
  <mergeCells count="14">
    <mergeCell ref="L4:O4"/>
    <mergeCell ref="P4:P5"/>
    <mergeCell ref="Q4:Q5"/>
    <mergeCell ref="R4:R5"/>
    <mergeCell ref="S4:S5"/>
    <mergeCell ref="T4:T5"/>
    <mergeCell ref="B15:C15"/>
    <mergeCell ref="B2:R2"/>
    <mergeCell ref="B3:R3"/>
    <mergeCell ref="B1:T1"/>
    <mergeCell ref="B4:B5"/>
    <mergeCell ref="C4:C5"/>
    <mergeCell ref="D4:G4"/>
    <mergeCell ref="H4:K4"/>
  </mergeCells>
  <printOptions/>
  <pageMargins left="0.48" right="0.37" top="0.39" bottom="0.3" header="0.3" footer="0.3"/>
  <pageSetup horizontalDpi="600" verticalDpi="600" orientation="landscape" paperSize="9" scale="95" r:id="rId1"/>
  <headerFooter>
    <oddFooter>&amp;L&amp;"Arial Black,Regular"Created By: PARMANAND MEGHWAL 9784379510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rajsevak.com</dc:title>
  <dc:subject>arrear sheet</dc:subject>
  <dc:creator/>
  <cp:keywords/>
  <dc:description/>
  <cp:lastModifiedBy>Windows User</cp:lastModifiedBy>
  <cp:lastPrinted>2018-06-22T09:32:23Z</cp:lastPrinted>
  <dcterms:created xsi:type="dcterms:W3CDTF">1996-10-14T23:33:28Z</dcterms:created>
  <dcterms:modified xsi:type="dcterms:W3CDTF">2018-07-09T17:42:47Z</dcterms:modified>
  <cp:category/>
  <cp:version/>
  <cp:contentType/>
  <cp:contentStatus/>
</cp:coreProperties>
</file>