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filterPrivacy="1" codeName="ThisWorkbook"/>
  <bookViews>
    <workbookView xWindow="0" yWindow="0" windowWidth="19420" windowHeight="11020"/>
  </bookViews>
  <sheets>
    <sheet name="Intro" sheetId="1" r:id="rId1"/>
    <sheet name="Entry Sheet" sheetId="2" r:id="rId2"/>
    <sheet name="Calculation " sheetId="3" r:id="rId3"/>
    <sheet name="Report Section" sheetId="4" r:id="rId4"/>
  </sheets>
  <definedNames>
    <definedName name="_xlnm._FilterDatabase" localSheetId="1" hidden="1">'Entry Sheet'!$A$2:$J$22</definedName>
    <definedName name="_xlnm.Criteria" localSheetId="2">'Calculation '!$B$2:$K$3</definedName>
    <definedName name="_xlnm.Extract" localSheetId="2">'Calculation '!$B$6:$K$6</definedName>
    <definedName name="_xlnm.Print_Area" localSheetId="2">'Calculation '!$A$6:$O$106</definedName>
    <definedName name="_xlnm.Print_Area" localSheetId="1">Table1[#All]</definedName>
    <definedName name="_xlnm.Print_Area" localSheetId="3">'Report Section'!$A$3:$AN$31</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J26" i="4"/>
  <c r="AG26"/>
  <c r="AD26"/>
  <c r="AA26"/>
  <c r="X26"/>
  <c r="U26"/>
  <c r="R26"/>
  <c r="O26"/>
  <c r="L26"/>
  <c r="I26"/>
  <c r="F26"/>
  <c r="C26"/>
  <c r="AJ25" l="1"/>
  <c r="AJ24"/>
  <c r="AJ23"/>
  <c r="AJ22"/>
  <c r="AJ21"/>
  <c r="AI26"/>
  <c r="AI25"/>
  <c r="AI24"/>
  <c r="AI23"/>
  <c r="AI22"/>
  <c r="AI21"/>
  <c r="AG25"/>
  <c r="AG24"/>
  <c r="AG23"/>
  <c r="AG22"/>
  <c r="AG21"/>
  <c r="AF26"/>
  <c r="AF25"/>
  <c r="AF24"/>
  <c r="AF23"/>
  <c r="AF22"/>
  <c r="AF21"/>
  <c r="AD25"/>
  <c r="AD24"/>
  <c r="AD23"/>
  <c r="AD22"/>
  <c r="AD21"/>
  <c r="AC26"/>
  <c r="AC25"/>
  <c r="AC24"/>
  <c r="AC23"/>
  <c r="AC22"/>
  <c r="AC21"/>
  <c r="AA25"/>
  <c r="AA24"/>
  <c r="AA23"/>
  <c r="AA22"/>
  <c r="AA21"/>
  <c r="Z26"/>
  <c r="Z25"/>
  <c r="Z24"/>
  <c r="Z23"/>
  <c r="Z22"/>
  <c r="Z21"/>
  <c r="X25"/>
  <c r="X24"/>
  <c r="X23"/>
  <c r="X22"/>
  <c r="X21"/>
  <c r="W26"/>
  <c r="W25"/>
  <c r="W24"/>
  <c r="W23"/>
  <c r="W22"/>
  <c r="W21"/>
  <c r="U25"/>
  <c r="U24"/>
  <c r="U23"/>
  <c r="U22"/>
  <c r="U21"/>
  <c r="T26"/>
  <c r="T25"/>
  <c r="T24"/>
  <c r="T23"/>
  <c r="T22"/>
  <c r="T21"/>
  <c r="R25"/>
  <c r="R24"/>
  <c r="R23"/>
  <c r="R22"/>
  <c r="R21"/>
  <c r="Q26"/>
  <c r="Q25"/>
  <c r="Q24"/>
  <c r="Q23"/>
  <c r="Q22"/>
  <c r="Q21"/>
  <c r="O25"/>
  <c r="O24"/>
  <c r="O23"/>
  <c r="O22"/>
  <c r="O21"/>
  <c r="N26"/>
  <c r="N25"/>
  <c r="N24"/>
  <c r="N23"/>
  <c r="N22"/>
  <c r="N21"/>
  <c r="L25"/>
  <c r="L24"/>
  <c r="L23"/>
  <c r="L22"/>
  <c r="L21"/>
  <c r="K26"/>
  <c r="K25"/>
  <c r="K24"/>
  <c r="K23"/>
  <c r="K22"/>
  <c r="K21"/>
  <c r="I25"/>
  <c r="I24"/>
  <c r="I23"/>
  <c r="I22"/>
  <c r="I21"/>
  <c r="H26"/>
  <c r="H25"/>
  <c r="H24"/>
  <c r="H23"/>
  <c r="H22"/>
  <c r="H21"/>
  <c r="F25"/>
  <c r="F24"/>
  <c r="F23"/>
  <c r="F22"/>
  <c r="F21"/>
  <c r="E26"/>
  <c r="E25"/>
  <c r="E24"/>
  <c r="E23"/>
  <c r="E22"/>
  <c r="E21"/>
  <c r="C25"/>
  <c r="C24"/>
  <c r="C23"/>
  <c r="C22"/>
  <c r="B26"/>
  <c r="B25"/>
  <c r="B24"/>
  <c r="B23"/>
  <c r="B22"/>
  <c r="B21"/>
  <c r="C21"/>
  <c r="AJ20"/>
  <c r="AI20"/>
  <c r="AG20"/>
  <c r="AF20"/>
  <c r="AD20"/>
  <c r="AC20"/>
  <c r="AA20"/>
  <c r="Z20"/>
  <c r="X20"/>
  <c r="W20"/>
  <c r="U20"/>
  <c r="T20"/>
  <c r="R20"/>
  <c r="Q20"/>
  <c r="O20"/>
  <c r="N20"/>
  <c r="L20"/>
  <c r="K20"/>
  <c r="I20"/>
  <c r="H20"/>
  <c r="F20"/>
  <c r="E20"/>
  <c r="C20"/>
  <c r="B20"/>
  <c r="S21" l="1"/>
  <c r="P22"/>
  <c r="D21"/>
  <c r="D24"/>
  <c r="Y23"/>
  <c r="AK21"/>
  <c r="D23"/>
  <c r="AK26"/>
  <c r="AK25"/>
  <c r="AK24"/>
  <c r="AK23"/>
  <c r="AK22"/>
  <c r="AH26"/>
  <c r="AH25"/>
  <c r="AH24"/>
  <c r="AH23"/>
  <c r="AH22"/>
  <c r="AH21"/>
  <c r="AE26"/>
  <c r="AE25"/>
  <c r="AE24"/>
  <c r="AE23"/>
  <c r="AE22"/>
  <c r="AE21"/>
  <c r="AB26"/>
  <c r="AB25"/>
  <c r="AB24"/>
  <c r="AB23"/>
  <c r="AB22"/>
  <c r="AB21"/>
  <c r="Y26"/>
  <c r="Y25"/>
  <c r="Y24"/>
  <c r="Y22"/>
  <c r="Y21"/>
  <c r="V26"/>
  <c r="V25"/>
  <c r="V24"/>
  <c r="V23"/>
  <c r="V22"/>
  <c r="V21"/>
  <c r="S26"/>
  <c r="S25"/>
  <c r="S24"/>
  <c r="S23"/>
  <c r="S22"/>
  <c r="P26"/>
  <c r="P25"/>
  <c r="P24"/>
  <c r="P23"/>
  <c r="P21"/>
  <c r="M23"/>
  <c r="AM26"/>
  <c r="AM25"/>
  <c r="AM24"/>
  <c r="AM23"/>
  <c r="J23"/>
  <c r="AM22"/>
  <c r="J21"/>
  <c r="AM21"/>
  <c r="AL26"/>
  <c r="AL25"/>
  <c r="AL24"/>
  <c r="AL23"/>
  <c r="AL22"/>
  <c r="AL21"/>
  <c r="D26"/>
  <c r="D25"/>
  <c r="D22"/>
  <c r="M26"/>
  <c r="M25"/>
  <c r="M24"/>
  <c r="M22"/>
  <c r="M21"/>
  <c r="J26"/>
  <c r="J25"/>
  <c r="J24"/>
  <c r="J22"/>
  <c r="G26"/>
  <c r="G25"/>
  <c r="G23"/>
  <c r="G22"/>
  <c r="G21"/>
  <c r="G24"/>
  <c r="AH20"/>
  <c r="AM20"/>
  <c r="D20"/>
  <c r="Y20"/>
  <c r="AE20"/>
  <c r="AK20"/>
  <c r="P20"/>
  <c r="AL20"/>
  <c r="AB20"/>
  <c r="V20"/>
  <c r="S20"/>
  <c r="M20"/>
  <c r="J20"/>
  <c r="G20"/>
  <c r="N3" i="2"/>
  <c r="AJ13" i="4" l="1"/>
  <c r="E13"/>
  <c r="AF9"/>
  <c r="Z9"/>
  <c r="T9"/>
  <c r="N9"/>
  <c r="H9"/>
  <c r="B9"/>
  <c r="O9"/>
  <c r="AJ9"/>
  <c r="AD9"/>
  <c r="X9"/>
  <c r="Y9" s="1"/>
  <c r="R9"/>
  <c r="L9"/>
  <c r="F9"/>
  <c r="AG9"/>
  <c r="U9"/>
  <c r="C9"/>
  <c r="AI9"/>
  <c r="AC9"/>
  <c r="AE9" s="1"/>
  <c r="W9"/>
  <c r="Q9"/>
  <c r="K9"/>
  <c r="E9"/>
  <c r="G9" s="1"/>
  <c r="AA9"/>
  <c r="I9"/>
  <c r="AN25"/>
  <c r="AN23"/>
  <c r="AN22"/>
  <c r="AN26"/>
  <c r="AN24"/>
  <c r="AN21"/>
  <c r="AN20"/>
  <c r="C7"/>
  <c r="O7"/>
  <c r="AJ7"/>
  <c r="E8"/>
  <c r="H13"/>
  <c r="L11"/>
  <c r="T13"/>
  <c r="X11"/>
  <c r="AC8"/>
  <c r="AF12"/>
  <c r="E7"/>
  <c r="Q7"/>
  <c r="B10"/>
  <c r="E12"/>
  <c r="I11"/>
  <c r="Q13"/>
  <c r="U11"/>
  <c r="AC12"/>
  <c r="AG10"/>
  <c r="I7"/>
  <c r="W7"/>
  <c r="C8"/>
  <c r="F11"/>
  <c r="N13"/>
  <c r="R11"/>
  <c r="Z13"/>
  <c r="AD10"/>
  <c r="AI8"/>
  <c r="K7"/>
  <c r="AD7"/>
  <c r="C12"/>
  <c r="K13"/>
  <c r="O11"/>
  <c r="W13"/>
  <c r="AA10"/>
  <c r="AF8"/>
  <c r="AI12"/>
  <c r="AJ10"/>
  <c r="F7"/>
  <c r="L7"/>
  <c r="R7"/>
  <c r="X7"/>
  <c r="Y7" s="1"/>
  <c r="AF7"/>
  <c r="B11"/>
  <c r="C13"/>
  <c r="F8"/>
  <c r="F12"/>
  <c r="G12" s="1"/>
  <c r="H10"/>
  <c r="I8"/>
  <c r="I12"/>
  <c r="K10"/>
  <c r="L8"/>
  <c r="L12"/>
  <c r="N10"/>
  <c r="O8"/>
  <c r="O12"/>
  <c r="Q10"/>
  <c r="R8"/>
  <c r="R12"/>
  <c r="T10"/>
  <c r="U8"/>
  <c r="U12"/>
  <c r="W10"/>
  <c r="X8"/>
  <c r="X12"/>
  <c r="Z10"/>
  <c r="AA7"/>
  <c r="AA11"/>
  <c r="AC13"/>
  <c r="AD11"/>
  <c r="AF13"/>
  <c r="AG11"/>
  <c r="AI13"/>
  <c r="AK13" s="1"/>
  <c r="AJ11"/>
  <c r="B7"/>
  <c r="H7"/>
  <c r="J7" s="1"/>
  <c r="N7"/>
  <c r="P7" s="1"/>
  <c r="T7"/>
  <c r="Z7"/>
  <c r="AG7"/>
  <c r="B8"/>
  <c r="B12"/>
  <c r="C10"/>
  <c r="E10"/>
  <c r="F13"/>
  <c r="H11"/>
  <c r="I13"/>
  <c r="K11"/>
  <c r="M11" s="1"/>
  <c r="M9"/>
  <c r="L13"/>
  <c r="M13" s="1"/>
  <c r="N11"/>
  <c r="O13"/>
  <c r="P13" s="1"/>
  <c r="Q11"/>
  <c r="S9"/>
  <c r="R13"/>
  <c r="S13" s="1"/>
  <c r="T11"/>
  <c r="V11" s="1"/>
  <c r="U13"/>
  <c r="W11"/>
  <c r="X13"/>
  <c r="Z11"/>
  <c r="AA8"/>
  <c r="AA12"/>
  <c r="AC10"/>
  <c r="AD8"/>
  <c r="AD12"/>
  <c r="AF10"/>
  <c r="AG8"/>
  <c r="AH8" s="1"/>
  <c r="AG12"/>
  <c r="AH12" s="1"/>
  <c r="AI10"/>
  <c r="AJ8"/>
  <c r="AJ12"/>
  <c r="U7"/>
  <c r="AC7"/>
  <c r="AE7" s="1"/>
  <c r="AI7"/>
  <c r="B13"/>
  <c r="C11"/>
  <c r="E11"/>
  <c r="F10"/>
  <c r="H8"/>
  <c r="J8" s="1"/>
  <c r="H12"/>
  <c r="J12" s="1"/>
  <c r="I10"/>
  <c r="K8"/>
  <c r="K12"/>
  <c r="M12" s="1"/>
  <c r="L10"/>
  <c r="N8"/>
  <c r="N12"/>
  <c r="O10"/>
  <c r="P10" s="1"/>
  <c r="Q8"/>
  <c r="S8" s="1"/>
  <c r="Q12"/>
  <c r="R10"/>
  <c r="T8"/>
  <c r="V8" s="1"/>
  <c r="T12"/>
  <c r="V12" s="1"/>
  <c r="U10"/>
  <c r="W8"/>
  <c r="W12"/>
  <c r="Y12" s="1"/>
  <c r="X10"/>
  <c r="Z8"/>
  <c r="Z12"/>
  <c r="AA13"/>
  <c r="AB13" s="1"/>
  <c r="AC11"/>
  <c r="AD13"/>
  <c r="AF11"/>
  <c r="AH11" s="1"/>
  <c r="AG13"/>
  <c r="AI11"/>
  <c r="AK11" s="1"/>
  <c r="N7" i="3"/>
  <c r="M7"/>
  <c r="L7"/>
  <c r="AH10" i="4" l="1"/>
  <c r="AK7"/>
  <c r="G11"/>
  <c r="AH13"/>
  <c r="AB10"/>
  <c r="AE8"/>
  <c r="AE13"/>
  <c r="S10"/>
  <c r="P11"/>
  <c r="AB7"/>
  <c r="S7"/>
  <c r="G7"/>
  <c r="J10"/>
  <c r="J13"/>
  <c r="AB9"/>
  <c r="V13"/>
  <c r="M10"/>
  <c r="Y13"/>
  <c r="S12"/>
  <c r="G8"/>
  <c r="AB8"/>
  <c r="AK8"/>
  <c r="Y11"/>
  <c r="J11"/>
  <c r="AB12"/>
  <c r="AK10"/>
  <c r="G13"/>
  <c r="P8"/>
  <c r="P9"/>
  <c r="M8"/>
  <c r="AE12"/>
  <c r="AE11"/>
  <c r="AK12"/>
  <c r="AE10"/>
  <c r="V9"/>
  <c r="AK9"/>
  <c r="Y10"/>
  <c r="D9"/>
  <c r="AL9"/>
  <c r="AM10"/>
  <c r="D7"/>
  <c r="AL7"/>
  <c r="AM13"/>
  <c r="AM7"/>
  <c r="D10"/>
  <c r="D12"/>
  <c r="AL12"/>
  <c r="AM9"/>
  <c r="AM12"/>
  <c r="AM8"/>
  <c r="D11"/>
  <c r="AM11"/>
  <c r="S11"/>
  <c r="J9"/>
  <c r="D8"/>
  <c r="AL8"/>
  <c r="AL11"/>
  <c r="M7"/>
  <c r="AL13"/>
  <c r="AN13" s="1"/>
  <c r="AL10"/>
  <c r="AN10" s="1"/>
  <c r="G10"/>
  <c r="AH9"/>
  <c r="AB11"/>
  <c r="Y8"/>
  <c r="V10"/>
  <c r="P12"/>
  <c r="D13"/>
  <c r="V7"/>
  <c r="AH7"/>
  <c r="O7" i="3"/>
  <c r="AN11" i="4" l="1"/>
  <c r="AN8"/>
  <c r="AN12"/>
  <c r="AN9"/>
  <c r="AN7"/>
</calcChain>
</file>

<file path=xl/sharedStrings.xml><?xml version="1.0" encoding="utf-8"?>
<sst xmlns="http://schemas.openxmlformats.org/spreadsheetml/2006/main" count="208" uniqueCount="69">
  <si>
    <t>jktdh; fo|ky;ksa esa izos'kksRlo ds nkSjku nSfud lwpuk Hkstus ds fy, fMVsy 'khV ds lkFk lHkh fjiksVZ vkWVks tujsV</t>
  </si>
  <si>
    <t>Made By : Chandra Prakash Saini, Lecturer in English, GHSS Arnoda (Chittaurgarh)</t>
  </si>
  <si>
    <t xml:space="preserve">;g 'khV jktdh; fo|ky;ksa esa izos'kksRlo ds nkSjku nSfud o MsV ls MsV fjiksVZ Hkstus ds fy, vkidh lgk;rk ds fy, cukbZ xbZ gSA </t>
  </si>
  <si>
    <t>Date</t>
  </si>
  <si>
    <t>Name of Student</t>
  </si>
  <si>
    <t>Class</t>
  </si>
  <si>
    <t>Gender</t>
  </si>
  <si>
    <t>Father's Name</t>
  </si>
  <si>
    <t>Mother's Name</t>
  </si>
  <si>
    <t>Contact Number</t>
  </si>
  <si>
    <t>Search Here</t>
  </si>
  <si>
    <t xml:space="preserve">lkeus ds lHkh dkWye dh iwfrZ djus ds ckn uhps fn, x, uhys dyj ds cVu ij fDyd djsaA </t>
  </si>
  <si>
    <t>Boy</t>
  </si>
  <si>
    <t>Girl</t>
  </si>
  <si>
    <t>Total</t>
  </si>
  <si>
    <t>bl lkfj.kh esa vkidks dqN Hkh ugha fy[kuk gSA mij lpZ djus ds vuqlkj blesa vkidks fjiksVZ 'kks gksxhA</t>
  </si>
  <si>
    <t>S.N.</t>
  </si>
  <si>
    <t>bl lkfj.kh esa vkidks izfrfnu o MsV ls MsV fjiksVZ feysxhA</t>
  </si>
  <si>
    <t xml:space="preserve">Daily admission details of : </t>
  </si>
  <si>
    <t>Class 1</t>
  </si>
  <si>
    <t>Class 2</t>
  </si>
  <si>
    <t>Class 3</t>
  </si>
  <si>
    <t>Class 4</t>
  </si>
  <si>
    <t>Class 5</t>
  </si>
  <si>
    <t>Class 6</t>
  </si>
  <si>
    <t>Class 7</t>
  </si>
  <si>
    <t>Class 8</t>
  </si>
  <si>
    <t>Class 9</t>
  </si>
  <si>
    <t>Class 10</t>
  </si>
  <si>
    <t>Class 11</t>
  </si>
  <si>
    <t>Class 12</t>
  </si>
  <si>
    <t>TOTAL</t>
  </si>
  <si>
    <t>Starting date</t>
  </si>
  <si>
    <t>admission report</t>
  </si>
  <si>
    <t>dk;kZy; % jktdh; mPp ek/;fed fo|ky;] vjuksnk ia- l- fuEckgsM+k ftyk ¼fpÙkkSM+x&lt;+½</t>
  </si>
  <si>
    <t>Category</t>
  </si>
  <si>
    <t>Addresss</t>
  </si>
  <si>
    <t>Alloted S.R.No.</t>
  </si>
  <si>
    <t>OBC</t>
  </si>
  <si>
    <t>Gen</t>
  </si>
  <si>
    <t>SC</t>
  </si>
  <si>
    <t>ST</t>
  </si>
  <si>
    <t>SBC</t>
  </si>
  <si>
    <t>Minority</t>
  </si>
  <si>
    <t>izos'kksRlo izHkkjh gLrk{kj</t>
  </si>
  <si>
    <t>ABCD</t>
  </si>
  <si>
    <t>Mister A</t>
  </si>
  <si>
    <t>Mrs A</t>
  </si>
  <si>
    <t>NBH</t>
  </si>
  <si>
    <t>laLFkk iz/kku gLrk{kj e; lhy</t>
  </si>
  <si>
    <t>to</t>
  </si>
  <si>
    <t>General</t>
  </si>
  <si>
    <r>
      <t xml:space="preserve">lcls igys 'khV ds </t>
    </r>
    <r>
      <rPr>
        <b/>
        <sz val="20"/>
        <color rgb="FF002060"/>
        <rFont val="Times New Roman"/>
        <family val="1"/>
      </rPr>
      <t>Open</t>
    </r>
    <r>
      <rPr>
        <sz val="20"/>
        <color rgb="FF002060"/>
        <rFont val="DevLys 010"/>
      </rPr>
      <t xml:space="preserve"> gksrs gh </t>
    </r>
    <r>
      <rPr>
        <b/>
        <sz val="20"/>
        <color rgb="FF002060"/>
        <rFont val="Times New Roman"/>
        <family val="1"/>
      </rPr>
      <t>Left  Side</t>
    </r>
    <r>
      <rPr>
        <sz val="20"/>
        <color rgb="FF002060"/>
        <rFont val="DevLys 010"/>
      </rPr>
      <t xml:space="preserve"> esa lcls Åij fn, </t>
    </r>
    <r>
      <rPr>
        <b/>
        <sz val="20"/>
        <color rgb="FFFF0000"/>
        <rFont val="Times New Roman"/>
        <family val="1"/>
      </rPr>
      <t>Enable Content</t>
    </r>
    <r>
      <rPr>
        <b/>
        <sz val="20"/>
        <color rgb="FFFF0000"/>
        <rFont val="Century"/>
        <family val="1"/>
      </rPr>
      <t xml:space="preserve"> </t>
    </r>
    <r>
      <rPr>
        <sz val="20"/>
        <color rgb="FF002060"/>
        <rFont val="DevLys 010"/>
      </rPr>
      <t>cVu ij fDyd djssaA</t>
    </r>
  </si>
  <si>
    <r>
      <rPr>
        <b/>
        <sz val="18"/>
        <color rgb="FFFF0000"/>
        <rFont val="Times New Roman"/>
        <family val="1"/>
      </rPr>
      <t>Entry Sheet</t>
    </r>
    <r>
      <rPr>
        <b/>
        <sz val="18"/>
        <color rgb="FFFF0000"/>
        <rFont val="DevLys 010"/>
      </rPr>
      <t xml:space="preserve"> esa vkidks flQZ MkVk ,UVªh djuh gSA </t>
    </r>
  </si>
  <si>
    <r>
      <rPr>
        <b/>
        <sz val="18"/>
        <color theme="1"/>
        <rFont val="Times New Roman"/>
        <family val="1"/>
      </rPr>
      <t>Calculation Sheet</t>
    </r>
    <r>
      <rPr>
        <b/>
        <sz val="18"/>
        <color theme="1"/>
        <rFont val="DevLys 010"/>
      </rPr>
      <t xml:space="preserve"> esa vkidks dsoy MsV pquuh gS mlds ckn lHkh MkVk vkidks uhps cuh lkfj.kh esa iznf'kZr gksxsaA vkidks lkfj.kh ds lkeus fn, x, uhyss dyj ds rhj ds fu'kku ij fDyd djuk gSA </t>
    </r>
  </si>
  <si>
    <r>
      <rPr>
        <b/>
        <sz val="18"/>
        <color theme="8" tint="-0.499984740745262"/>
        <rFont val="Times New Roman"/>
        <family val="1"/>
      </rPr>
      <t>Report Sheet</t>
    </r>
    <r>
      <rPr>
        <b/>
        <sz val="18"/>
        <color theme="8" tint="-0.499984740745262"/>
        <rFont val="DevLys 010"/>
      </rPr>
      <t xml:space="preserve"> esa vkidks izfrfnu vkSj MsV ls MsV o dsVsxjh okbZt fjiksVZ feysxhA</t>
    </r>
  </si>
  <si>
    <r>
      <t xml:space="preserve">fdlh Hkh lq&gt;ko ;k lgk;rk ds fy, lEidZ djsa %&amp; </t>
    </r>
    <r>
      <rPr>
        <b/>
        <sz val="18"/>
        <color rgb="FFFF0000"/>
        <rFont val="Times New Roman"/>
        <family val="1"/>
      </rPr>
      <t>cpsaini01@gmail.com</t>
    </r>
  </si>
  <si>
    <r>
      <t xml:space="preserve">lHkh 'khV dk ikloMZ </t>
    </r>
    <r>
      <rPr>
        <b/>
        <sz val="18"/>
        <color theme="1"/>
        <rFont val="Times New Roman"/>
        <family val="1"/>
      </rPr>
      <t>admit</t>
    </r>
    <r>
      <rPr>
        <b/>
        <sz val="18"/>
        <color theme="1"/>
        <rFont val="DevLys 010"/>
      </rPr>
      <t xml:space="preserve"> gSA fgUnh QkWUV </t>
    </r>
    <r>
      <rPr>
        <b/>
        <sz val="18"/>
        <color theme="1"/>
        <rFont val="Times New Roman"/>
        <family val="1"/>
      </rPr>
      <t>DevLys</t>
    </r>
    <r>
      <rPr>
        <b/>
        <sz val="18"/>
        <color theme="1"/>
        <rFont val="DevLys 010"/>
      </rPr>
      <t xml:space="preserve"> </t>
    </r>
    <r>
      <rPr>
        <b/>
        <sz val="18"/>
        <color theme="1"/>
        <rFont val="Times New Roman"/>
        <family val="1"/>
      </rPr>
      <t>010</t>
    </r>
    <r>
      <rPr>
        <b/>
        <sz val="18"/>
        <color theme="1"/>
        <rFont val="DevLys 010"/>
      </rPr>
      <t xml:space="preserve"> o </t>
    </r>
    <r>
      <rPr>
        <b/>
        <sz val="18"/>
        <color theme="1"/>
        <rFont val="Times New Roman"/>
        <family val="1"/>
      </rPr>
      <t>English font Times New Roman</t>
    </r>
    <r>
      <rPr>
        <b/>
        <sz val="18"/>
        <color theme="1"/>
        <rFont val="DevLys 010"/>
      </rPr>
      <t xml:space="preserve"> dk iz;ksx fd;k x;k gSA</t>
    </r>
  </si>
  <si>
    <r>
      <t xml:space="preserve">bl 'khV ds lHkh dkWye esa vkidks flQZ MkVk Hkjus gSaA </t>
    </r>
    <r>
      <rPr>
        <b/>
        <sz val="16"/>
        <color rgb="FFFF0000"/>
        <rFont val="Times New Roman"/>
        <family val="1"/>
      </rPr>
      <t xml:space="preserve">Date,  Class </t>
    </r>
    <r>
      <rPr>
        <b/>
        <sz val="16"/>
        <color rgb="FFFF0000"/>
        <rFont val="DevLys 010"/>
      </rPr>
      <t>vkSj</t>
    </r>
    <r>
      <rPr>
        <b/>
        <sz val="16"/>
        <color rgb="FFFF0000"/>
        <rFont val="Times New Roman"/>
        <family val="1"/>
      </rPr>
      <t xml:space="preserve"> Gender</t>
    </r>
    <r>
      <rPr>
        <b/>
        <sz val="16"/>
        <color rgb="FFFF0000"/>
        <rFont val="DevLys 010"/>
      </rPr>
      <t xml:space="preserve"> esa </t>
    </r>
    <r>
      <rPr>
        <b/>
        <sz val="16"/>
        <color rgb="FFFF0000"/>
        <rFont val="Times New Roman"/>
        <family val="1"/>
      </rPr>
      <t>Drop Down Menu</t>
    </r>
    <r>
      <rPr>
        <b/>
        <sz val="16"/>
        <color rgb="FFFF0000"/>
        <rFont val="DevLys 010"/>
      </rPr>
      <t xml:space="preserve"> gSA vki pkgs rks lh/ks Vkbi Hkh dj ldrs gSa vkSj </t>
    </r>
    <r>
      <rPr>
        <b/>
        <sz val="16"/>
        <color rgb="FFFF0000"/>
        <rFont val="Times New Roman"/>
        <family val="1"/>
      </rPr>
      <t>Drop Down Menu</t>
    </r>
    <r>
      <rPr>
        <b/>
        <sz val="16"/>
        <color rgb="FFFF0000"/>
        <rFont val="DevLys 010"/>
      </rPr>
      <t xml:space="preserve"> ls Hkh lysDV dj ldrs gSaA</t>
    </r>
  </si>
  <si>
    <r>
      <rPr>
        <b/>
        <sz val="16"/>
        <color rgb="FFFF0000"/>
        <rFont val="Times New Roman"/>
        <family val="1"/>
      </rPr>
      <t>Name of Student</t>
    </r>
    <r>
      <rPr>
        <b/>
        <sz val="16"/>
        <color rgb="FFFF0000"/>
        <rFont val="DevLys 010"/>
      </rPr>
      <t xml:space="preserve"> esa dqN ugha fy[kuk gSA </t>
    </r>
  </si>
  <si>
    <r>
      <rPr>
        <b/>
        <sz val="11"/>
        <color rgb="FFFF0000"/>
        <rFont val="Times New Roman"/>
        <family val="1"/>
      </rPr>
      <t>Class Wise Search</t>
    </r>
    <r>
      <rPr>
        <b/>
        <sz val="11"/>
        <color rgb="FFFF0000"/>
        <rFont val="DevLys 010"/>
      </rPr>
      <t xml:space="preserve"> djuk gS rks gh Dykl  fy[ksa vU;Fkk dkWye [kkyh j[ksaA</t>
    </r>
  </si>
  <si>
    <r>
      <rPr>
        <b/>
        <sz val="14"/>
        <color rgb="FFFF0000"/>
        <rFont val="Times New Roman"/>
        <family val="1"/>
      </rPr>
      <t>Category</t>
    </r>
    <r>
      <rPr>
        <b/>
        <sz val="16"/>
        <color rgb="FFFF0000"/>
        <rFont val="DevLys 010"/>
      </rPr>
      <t xml:space="preserve"> dkWye esa dqN ugha fy[kuk gSA</t>
    </r>
  </si>
  <si>
    <r>
      <rPr>
        <b/>
        <sz val="16"/>
        <color rgb="FFFF0000"/>
        <rFont val="Times New Roman"/>
        <family val="1"/>
      </rPr>
      <t>Fathers's Name</t>
    </r>
    <r>
      <rPr>
        <b/>
        <sz val="16"/>
        <color rgb="FFFF0000"/>
        <rFont val="Cambria"/>
        <family val="1"/>
      </rPr>
      <t xml:space="preserve"> </t>
    </r>
    <r>
      <rPr>
        <b/>
        <sz val="16"/>
        <color rgb="FFFF0000"/>
        <rFont val="DevLys 010"/>
      </rPr>
      <t>dkWye esa dqN ugha fy[kuk gSA</t>
    </r>
  </si>
  <si>
    <r>
      <rPr>
        <b/>
        <sz val="16"/>
        <color rgb="FFFF0000"/>
        <rFont val="Times New Roman"/>
        <family val="1"/>
      </rPr>
      <t>Mothers's Name</t>
    </r>
    <r>
      <rPr>
        <b/>
        <sz val="16"/>
        <color rgb="FFFF0000"/>
        <rFont val="Cambria"/>
        <family val="1"/>
      </rPr>
      <t xml:space="preserve"> </t>
    </r>
    <r>
      <rPr>
        <b/>
        <sz val="16"/>
        <color rgb="FFFF0000"/>
        <rFont val="DevLys 010"/>
      </rPr>
      <t>dkWye esa dqN ugha fy[kuk gSA</t>
    </r>
  </si>
  <si>
    <r>
      <rPr>
        <b/>
        <sz val="16"/>
        <color rgb="FFFF0000"/>
        <rFont val="Times New Roman"/>
        <family val="1"/>
      </rPr>
      <t xml:space="preserve">Contact Number </t>
    </r>
    <r>
      <rPr>
        <b/>
        <sz val="16"/>
        <color rgb="FFFF0000"/>
        <rFont val="DevLys 010"/>
      </rPr>
      <t>dkWye esa dqN ugha fy[kuk gSA</t>
    </r>
  </si>
  <si>
    <r>
      <rPr>
        <b/>
        <sz val="16"/>
        <color rgb="FFFF0000"/>
        <rFont val="Times New Roman"/>
        <family val="1"/>
      </rPr>
      <t>Address</t>
    </r>
    <r>
      <rPr>
        <b/>
        <sz val="16"/>
        <color rgb="FFFF0000"/>
        <rFont val="Cambria"/>
        <family val="1"/>
      </rPr>
      <t xml:space="preserve">
</t>
    </r>
    <r>
      <rPr>
        <b/>
        <sz val="16"/>
        <color rgb="FFFF0000"/>
        <rFont val="DevLys 010"/>
      </rPr>
      <t>dkWye esa dqN ugha fy[kuk gSA</t>
    </r>
  </si>
  <si>
    <r>
      <rPr>
        <b/>
        <sz val="16"/>
        <color rgb="FFFF0000"/>
        <rFont val="Times New Roman"/>
        <family val="1"/>
      </rPr>
      <t>Alloted S.R.No.</t>
    </r>
    <r>
      <rPr>
        <b/>
        <sz val="16"/>
        <color rgb="FFFF0000"/>
        <rFont val="Cambria"/>
        <family val="1"/>
      </rPr>
      <t xml:space="preserve">
</t>
    </r>
    <r>
      <rPr>
        <b/>
        <sz val="16"/>
        <color rgb="FFFF0000"/>
        <rFont val="DevLys 010"/>
      </rPr>
      <t>dkWye esa dqN ugha fy[kuk gSA</t>
    </r>
  </si>
  <si>
    <r>
      <rPr>
        <b/>
        <sz val="14"/>
        <color rgb="FFFF0000"/>
        <rFont val="Times New Roman"/>
        <family val="1"/>
      </rPr>
      <t>Date</t>
    </r>
    <r>
      <rPr>
        <b/>
        <sz val="14"/>
        <color rgb="FFFF0000"/>
        <rFont val="Calibri"/>
        <family val="2"/>
        <scheme val="minor"/>
      </rPr>
      <t xml:space="preserve"> </t>
    </r>
    <r>
      <rPr>
        <b/>
        <sz val="14"/>
        <color rgb="FFFF0000"/>
        <rFont val="DevLys 010"/>
      </rPr>
      <t xml:space="preserve">dkWye esa vkidks 01-07-2020 ls 31-08-2020 ds chp dh MsV bUVj djuh gSA pkgs rks </t>
    </r>
    <r>
      <rPr>
        <b/>
        <sz val="14"/>
        <color rgb="FFFF0000"/>
        <rFont val="Times New Roman"/>
        <family val="1"/>
      </rPr>
      <t>Drop Down</t>
    </r>
    <r>
      <rPr>
        <b/>
        <sz val="14"/>
        <color rgb="FFFF0000"/>
        <rFont val="Cambria"/>
        <family val="1"/>
      </rPr>
      <t xml:space="preserve"> </t>
    </r>
    <r>
      <rPr>
        <b/>
        <sz val="14"/>
        <color rgb="FFFF0000"/>
        <rFont val="Times New Roman"/>
        <family val="1"/>
      </rPr>
      <t>Menu</t>
    </r>
    <r>
      <rPr>
        <b/>
        <sz val="14"/>
        <color rgb="FFFF0000"/>
        <rFont val="DevLys 010"/>
      </rPr>
      <t xml:space="preserve"> ls Hkh MsV pqu ldrs gSaA</t>
    </r>
  </si>
  <si>
    <r>
      <rPr>
        <b/>
        <sz val="11"/>
        <color rgb="FFFF0000"/>
        <rFont val="Times New Roman"/>
        <family val="1"/>
      </rPr>
      <t>Gender Wise Search</t>
    </r>
    <r>
      <rPr>
        <b/>
        <sz val="11"/>
        <color rgb="FFFF0000"/>
        <rFont val="DevLys 010"/>
      </rPr>
      <t xml:space="preserve"> djuk gS rks gh </t>
    </r>
    <r>
      <rPr>
        <b/>
        <sz val="11"/>
        <color rgb="FFFF0000"/>
        <rFont val="Times New Roman"/>
        <family val="1"/>
      </rPr>
      <t>Boy</t>
    </r>
    <r>
      <rPr>
        <b/>
        <sz val="11"/>
        <color rgb="FFFF0000"/>
        <rFont val="DevLys 010"/>
      </rPr>
      <t xml:space="preserve"> ;k </t>
    </r>
    <r>
      <rPr>
        <b/>
        <sz val="11"/>
        <color rgb="FFFF0000"/>
        <rFont val="Times New Roman"/>
        <family val="1"/>
      </rPr>
      <t>Girl</t>
    </r>
    <r>
      <rPr>
        <b/>
        <sz val="11"/>
        <color rgb="FFFF0000"/>
        <rFont val="DevLys 010"/>
      </rPr>
      <t xml:space="preserve"> fy[ksa vU;Fkk dkWye [kkyh j[ksaA</t>
    </r>
  </si>
</sst>
</file>

<file path=xl/styles.xml><?xml version="1.0" encoding="utf-8"?>
<styleSheet xmlns="http://schemas.openxmlformats.org/spreadsheetml/2006/main">
  <fonts count="49">
    <font>
      <sz val="11"/>
      <color theme="1"/>
      <name val="Calibri"/>
      <family val="2"/>
      <scheme val="minor"/>
    </font>
    <font>
      <b/>
      <sz val="18"/>
      <color theme="0"/>
      <name val="DevLys 010"/>
    </font>
    <font>
      <b/>
      <sz val="14"/>
      <color theme="1"/>
      <name val="Calibri"/>
      <family val="2"/>
      <scheme val="minor"/>
    </font>
    <font>
      <b/>
      <sz val="14"/>
      <color rgb="FFFF0000"/>
      <name val="Calibri"/>
      <family val="2"/>
      <scheme val="minor"/>
    </font>
    <font>
      <b/>
      <sz val="14"/>
      <color rgb="FFFF0000"/>
      <name val="DevLys 010"/>
    </font>
    <font>
      <b/>
      <sz val="14"/>
      <color rgb="FFFF0000"/>
      <name val="Cambria"/>
      <family val="1"/>
    </font>
    <font>
      <b/>
      <sz val="16"/>
      <color rgb="FFFF0000"/>
      <name val="DevLys 010"/>
    </font>
    <font>
      <b/>
      <sz val="16"/>
      <color rgb="FFFF0000"/>
      <name val="Cambria"/>
      <family val="1"/>
    </font>
    <font>
      <b/>
      <sz val="11"/>
      <color rgb="FFFF0000"/>
      <name val="DevLys 010"/>
    </font>
    <font>
      <b/>
      <sz val="20"/>
      <color rgb="FFFF0000"/>
      <name val="DevLys 010"/>
    </font>
    <font>
      <sz val="14"/>
      <color theme="1"/>
      <name val="Calibri"/>
      <family val="2"/>
      <scheme val="minor"/>
    </font>
    <font>
      <b/>
      <sz val="36"/>
      <color rgb="FFFF0000"/>
      <name val="DevLys 010"/>
    </font>
    <font>
      <sz val="26"/>
      <color theme="1"/>
      <name val="Calibri"/>
      <family val="2"/>
      <scheme val="minor"/>
    </font>
    <font>
      <b/>
      <sz val="26"/>
      <color rgb="FFFF0000"/>
      <name val="Calibri"/>
      <family val="2"/>
      <scheme val="minor"/>
    </font>
    <font>
      <sz val="26"/>
      <color rgb="FFFF0000"/>
      <name val="Calibri"/>
      <family val="2"/>
      <scheme val="minor"/>
    </font>
    <font>
      <sz val="20"/>
      <color theme="1"/>
      <name val="Calibri"/>
      <family val="2"/>
      <scheme val="minor"/>
    </font>
    <font>
      <b/>
      <sz val="20"/>
      <color theme="1"/>
      <name val="Calibri"/>
      <family val="2"/>
      <scheme val="minor"/>
    </font>
    <font>
      <sz val="11"/>
      <color theme="1"/>
      <name val="DevLys 010"/>
    </font>
    <font>
      <b/>
      <sz val="22"/>
      <color rgb="FF00B0F0"/>
      <name val="DevLys 010"/>
    </font>
    <font>
      <sz val="14"/>
      <color theme="1"/>
      <name val="DevLys 010"/>
    </font>
    <font>
      <b/>
      <sz val="36"/>
      <color theme="1"/>
      <name val="DevLys 010"/>
    </font>
    <font>
      <sz val="20"/>
      <color rgb="FF002060"/>
      <name val="DevLys 010"/>
    </font>
    <font>
      <b/>
      <sz val="20"/>
      <color rgb="FFFF0000"/>
      <name val="Century"/>
      <family val="1"/>
    </font>
    <font>
      <b/>
      <sz val="18"/>
      <color rgb="FFFF0000"/>
      <name val="DevLys 010"/>
    </font>
    <font>
      <b/>
      <sz val="18"/>
      <color theme="1"/>
      <name val="DevLys 010"/>
    </font>
    <font>
      <b/>
      <sz val="18"/>
      <color theme="8" tint="-0.499984740745262"/>
      <name val="DevLys 010"/>
    </font>
    <font>
      <b/>
      <sz val="16"/>
      <color rgb="FF0070C0"/>
      <name val="DevLys 010"/>
    </font>
    <font>
      <b/>
      <sz val="22"/>
      <color rgb="FFFF0000"/>
      <name val="Times New Roman"/>
      <family val="1"/>
    </font>
    <font>
      <b/>
      <sz val="20"/>
      <color rgb="FF002060"/>
      <name val="Times New Roman"/>
      <family val="1"/>
    </font>
    <font>
      <b/>
      <sz val="20"/>
      <color rgb="FFFF0000"/>
      <name val="Times New Roman"/>
      <family val="1"/>
    </font>
    <font>
      <b/>
      <sz val="18"/>
      <color rgb="FFFF0000"/>
      <name val="Times New Roman"/>
      <family val="1"/>
    </font>
    <font>
      <b/>
      <sz val="18"/>
      <color theme="1"/>
      <name val="Times New Roman"/>
      <family val="1"/>
    </font>
    <font>
      <b/>
      <sz val="18"/>
      <color theme="8" tint="-0.499984740745262"/>
      <name val="Times New Roman"/>
      <family val="1"/>
    </font>
    <font>
      <b/>
      <sz val="16"/>
      <color rgb="FFFF0000"/>
      <name val="Times New Roman"/>
      <family val="1"/>
    </font>
    <font>
      <sz val="14"/>
      <color theme="1"/>
      <name val="Times New Roman"/>
      <family val="1"/>
    </font>
    <font>
      <b/>
      <sz val="14"/>
      <color theme="1"/>
      <name val="Times New Roman"/>
      <family val="1"/>
    </font>
    <font>
      <b/>
      <sz val="14"/>
      <color rgb="FFFF0000"/>
      <name val="Times New Roman"/>
      <family val="1"/>
    </font>
    <font>
      <sz val="14"/>
      <color rgb="FF00B0F0"/>
      <name val="Times New Roman"/>
      <family val="1"/>
    </font>
    <font>
      <sz val="14"/>
      <color rgb="FF7030A0"/>
      <name val="Times New Roman"/>
      <family val="1"/>
    </font>
    <font>
      <b/>
      <sz val="20"/>
      <color theme="1"/>
      <name val="Times New Roman"/>
      <family val="1"/>
    </font>
    <font>
      <sz val="20"/>
      <color theme="1"/>
      <name val="Times New Roman"/>
      <family val="1"/>
    </font>
    <font>
      <sz val="11"/>
      <color theme="1"/>
      <name val="Times New Roman"/>
      <family val="1"/>
    </font>
    <font>
      <sz val="14"/>
      <color theme="4" tint="-0.499984740745262"/>
      <name val="Times New Roman"/>
      <family val="1"/>
    </font>
    <font>
      <b/>
      <sz val="11"/>
      <color theme="1"/>
      <name val="Times New Roman"/>
      <family val="1"/>
    </font>
    <font>
      <b/>
      <sz val="11"/>
      <color rgb="FFFF0000"/>
      <name val="Times New Roman"/>
      <family val="1"/>
    </font>
    <font>
      <b/>
      <sz val="20"/>
      <color theme="4" tint="-0.249977111117893"/>
      <name val="Times New Roman"/>
      <family val="1"/>
    </font>
    <font>
      <b/>
      <sz val="10"/>
      <color rgb="FFFF0000"/>
      <name val="Times New Roman"/>
      <family val="1"/>
    </font>
    <font>
      <sz val="14"/>
      <color theme="5" tint="-0.499984740745262"/>
      <name val="Times New Roman"/>
      <family val="1"/>
    </font>
    <font>
      <b/>
      <sz val="26"/>
      <color theme="1"/>
      <name val="Times New Roman"/>
      <family val="1"/>
    </font>
  </fonts>
  <fills count="15">
    <fill>
      <patternFill patternType="none"/>
    </fill>
    <fill>
      <patternFill patternType="gray125"/>
    </fill>
    <fill>
      <patternFill patternType="solid">
        <fgColor theme="5"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9" tint="-0.499984740745262"/>
      </right>
      <top/>
      <bottom style="thin">
        <color theme="9" tint="-0.499984740745262"/>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top style="thin">
        <color theme="9" tint="-0.499984740745262"/>
      </top>
      <bottom/>
      <diagonal/>
    </border>
    <border>
      <left style="thin">
        <color indexed="64"/>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s>
  <cellStyleXfs count="1">
    <xf numFmtId="0" fontId="0" fillId="0" borderId="0"/>
  </cellStyleXfs>
  <cellXfs count="87">
    <xf numFmtId="0" fontId="0" fillId="0" borderId="0" xfId="0"/>
    <xf numFmtId="0" fontId="12" fillId="9" borderId="0" xfId="0" applyFont="1" applyFill="1" applyBorder="1" applyAlignment="1" applyProtection="1">
      <alignment horizontal="center"/>
      <protection locked="0"/>
    </xf>
    <xf numFmtId="0" fontId="0" fillId="0" borderId="0" xfId="0" applyProtection="1">
      <protection locked="0"/>
    </xf>
    <xf numFmtId="0" fontId="12" fillId="9" borderId="0" xfId="0" applyFont="1" applyFill="1" applyBorder="1" applyAlignment="1" applyProtection="1">
      <protection locked="0"/>
    </xf>
    <xf numFmtId="14" fontId="13" fillId="9" borderId="0" xfId="0" applyNumberFormat="1" applyFont="1" applyFill="1" applyBorder="1" applyAlignment="1" applyProtection="1">
      <alignment wrapText="1"/>
      <protection locked="0"/>
    </xf>
    <xf numFmtId="0" fontId="14" fillId="9" borderId="0" xfId="0" applyFont="1" applyFill="1" applyBorder="1" applyAlignment="1" applyProtection="1">
      <alignment horizontal="left"/>
      <protection locked="0"/>
    </xf>
    <xf numFmtId="0" fontId="6" fillId="9"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xf>
    <xf numFmtId="0" fontId="16" fillId="9" borderId="0" xfId="0" applyFont="1" applyFill="1" applyBorder="1" applyAlignment="1" applyProtection="1">
      <alignment horizontal="center" vertical="center"/>
      <protection hidden="1"/>
    </xf>
    <xf numFmtId="14" fontId="13" fillId="9" borderId="3" xfId="0" applyNumberFormat="1" applyFont="1" applyFill="1" applyBorder="1" applyAlignment="1" applyProtection="1">
      <alignment wrapText="1"/>
      <protection locked="0"/>
    </xf>
    <xf numFmtId="0" fontId="17" fillId="0" borderId="0" xfId="0" applyFont="1" applyAlignment="1">
      <alignment vertical="center"/>
    </xf>
    <xf numFmtId="0" fontId="0" fillId="0" borderId="0" xfId="0" applyAlignment="1">
      <alignment vertical="center"/>
    </xf>
    <xf numFmtId="0" fontId="2" fillId="0" borderId="21" xfId="0" applyFont="1" applyBorder="1" applyAlignment="1">
      <alignment horizontal="center" vertical="center"/>
    </xf>
    <xf numFmtId="0" fontId="0" fillId="0" borderId="0" xfId="0" applyBorder="1"/>
    <xf numFmtId="0" fontId="15" fillId="0" borderId="0" xfId="0" applyFont="1"/>
    <xf numFmtId="0" fontId="37" fillId="7" borderId="0" xfId="0" applyFont="1" applyFill="1" applyBorder="1" applyAlignment="1">
      <alignment horizontal="center"/>
    </xf>
    <xf numFmtId="14" fontId="39" fillId="0" borderId="7" xfId="0" applyNumberFormat="1" applyFont="1" applyBorder="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14" fontId="39" fillId="0" borderId="10" xfId="0" applyNumberFormat="1" applyFont="1" applyBorder="1" applyAlignment="1">
      <alignment horizontal="center" vertical="center"/>
    </xf>
    <xf numFmtId="0" fontId="39" fillId="0" borderId="11" xfId="0" applyFont="1" applyBorder="1" applyAlignment="1">
      <alignment horizontal="center" vertical="center"/>
    </xf>
    <xf numFmtId="0" fontId="40" fillId="0" borderId="12" xfId="0" applyFont="1" applyBorder="1" applyAlignment="1">
      <alignment horizontal="center" vertical="center"/>
    </xf>
    <xf numFmtId="14" fontId="39" fillId="0" borderId="10" xfId="0" applyNumberFormat="1" applyFont="1" applyBorder="1" applyAlignment="1"/>
    <xf numFmtId="0" fontId="39" fillId="0" borderId="11" xfId="0" applyFont="1" applyBorder="1" applyAlignment="1"/>
    <xf numFmtId="0" fontId="40" fillId="0" borderId="12" xfId="0" applyFont="1" applyBorder="1" applyAlignment="1"/>
    <xf numFmtId="0" fontId="41" fillId="0" borderId="0" xfId="0" applyFont="1"/>
    <xf numFmtId="14" fontId="41" fillId="0" borderId="0" xfId="0" applyNumberFormat="1" applyFont="1"/>
    <xf numFmtId="0" fontId="40" fillId="0" borderId="0" xfId="0" applyFont="1"/>
    <xf numFmtId="14" fontId="40" fillId="0" borderId="0" xfId="0" applyNumberFormat="1" applyFont="1"/>
    <xf numFmtId="0" fontId="38" fillId="8" borderId="1" xfId="0" applyFont="1" applyFill="1" applyBorder="1" applyAlignment="1">
      <alignment horizontal="center"/>
    </xf>
    <xf numFmtId="14" fontId="35" fillId="0" borderId="23" xfId="0" applyNumberFormat="1" applyFont="1" applyBorder="1" applyAlignment="1">
      <alignment horizontal="center"/>
    </xf>
    <xf numFmtId="0" fontId="34" fillId="0" borderId="23" xfId="0" applyFont="1" applyBorder="1" applyAlignment="1">
      <alignment horizontal="center"/>
    </xf>
    <xf numFmtId="0" fontId="34" fillId="0" borderId="22" xfId="0" applyFont="1" applyBorder="1" applyAlignment="1">
      <alignment horizontal="center"/>
    </xf>
    <xf numFmtId="0" fontId="35" fillId="7" borderId="15" xfId="0" applyFont="1" applyFill="1" applyBorder="1" applyAlignment="1">
      <alignment horizontal="center" vertical="center"/>
    </xf>
    <xf numFmtId="0" fontId="42" fillId="13" borderId="1" xfId="0" applyFont="1" applyFill="1" applyBorder="1" applyAlignment="1">
      <alignment horizontal="center"/>
    </xf>
    <xf numFmtId="0" fontId="36" fillId="4" borderId="19" xfId="0" applyFont="1" applyFill="1" applyBorder="1" applyAlignment="1">
      <alignment horizontal="center" vertical="center"/>
    </xf>
    <xf numFmtId="0" fontId="36" fillId="4" borderId="16" xfId="0" applyFont="1" applyFill="1" applyBorder="1" applyAlignment="1">
      <alignment horizontal="center" vertical="center"/>
    </xf>
    <xf numFmtId="0" fontId="35" fillId="0" borderId="15" xfId="0" applyFont="1" applyBorder="1" applyAlignment="1">
      <alignment horizontal="center" vertical="center"/>
    </xf>
    <xf numFmtId="14" fontId="43" fillId="0" borderId="16" xfId="0" applyNumberFormat="1" applyFont="1" applyBorder="1" applyAlignment="1">
      <alignment horizontal="center" vertical="center"/>
    </xf>
    <xf numFmtId="0" fontId="43" fillId="0" borderId="16" xfId="0" applyFont="1" applyBorder="1" applyAlignment="1">
      <alignment horizontal="center" vertical="center"/>
    </xf>
    <xf numFmtId="14" fontId="39" fillId="0" borderId="7" xfId="0" applyNumberFormat="1" applyFont="1" applyBorder="1" applyAlignment="1"/>
    <xf numFmtId="0" fontId="39" fillId="0" borderId="8" xfId="0" applyFont="1" applyBorder="1" applyAlignment="1"/>
    <xf numFmtId="0" fontId="39" fillId="0" borderId="9" xfId="0" applyFont="1" applyBorder="1" applyAlignment="1"/>
    <xf numFmtId="0" fontId="41" fillId="0" borderId="0" xfId="0" applyFont="1" applyBorder="1"/>
    <xf numFmtId="0" fontId="47" fillId="6" borderId="1" xfId="0" applyFont="1" applyFill="1" applyBorder="1" applyAlignment="1" applyProtection="1">
      <alignment horizontal="center"/>
      <protection locked="0"/>
    </xf>
    <xf numFmtId="0" fontId="47" fillId="4" borderId="1" xfId="0" applyFont="1" applyFill="1" applyBorder="1" applyAlignment="1" applyProtection="1">
      <alignment horizontal="center"/>
      <protection locked="0"/>
    </xf>
    <xf numFmtId="0" fontId="35" fillId="12" borderId="1" xfId="0" applyFont="1" applyFill="1" applyBorder="1" applyAlignment="1" applyProtection="1">
      <alignment horizontal="center" vertical="center"/>
      <protection hidden="1"/>
    </xf>
    <xf numFmtId="0" fontId="36" fillId="7" borderId="16" xfId="0" applyFont="1" applyFill="1" applyBorder="1" applyAlignment="1">
      <alignment horizontal="center" vertical="center"/>
    </xf>
    <xf numFmtId="0" fontId="34" fillId="12" borderId="1" xfId="0" applyFont="1" applyFill="1" applyBorder="1" applyAlignment="1" applyProtection="1">
      <alignment horizontal="center" vertical="center"/>
      <protection hidden="1"/>
    </xf>
    <xf numFmtId="0" fontId="47" fillId="14" borderId="1" xfId="0" applyFont="1" applyFill="1" applyBorder="1" applyAlignment="1" applyProtection="1">
      <alignment horizontal="center" vertical="center"/>
      <protection locked="0"/>
    </xf>
    <xf numFmtId="0" fontId="39" fillId="12" borderId="1" xfId="0" applyFont="1" applyFill="1" applyBorder="1" applyAlignment="1" applyProtection="1">
      <alignment horizontal="center" vertical="center"/>
      <protection hidden="1"/>
    </xf>
    <xf numFmtId="0" fontId="24" fillId="8" borderId="0" xfId="0" applyFont="1" applyFill="1" applyAlignment="1">
      <alignment horizontal="center" vertical="center"/>
    </xf>
    <xf numFmtId="0" fontId="23" fillId="5" borderId="0" xfId="0" applyFont="1" applyFill="1" applyAlignment="1">
      <alignment horizontal="center"/>
    </xf>
    <xf numFmtId="0" fontId="1" fillId="2" borderId="0" xfId="0" applyFont="1" applyFill="1" applyAlignment="1">
      <alignment horizontal="center" vertical="center"/>
    </xf>
    <xf numFmtId="0" fontId="27" fillId="3" borderId="0" xfId="0" applyFont="1" applyFill="1" applyAlignment="1">
      <alignment horizontal="center"/>
    </xf>
    <xf numFmtId="0" fontId="26" fillId="4" borderId="0" xfId="0" applyFont="1" applyFill="1" applyAlignment="1">
      <alignment horizontal="center"/>
    </xf>
    <xf numFmtId="0" fontId="24" fillId="10" borderId="0" xfId="0" applyFont="1" applyFill="1" applyAlignment="1">
      <alignment horizontal="center" vertical="center" wrapText="1"/>
    </xf>
    <xf numFmtId="0" fontId="25" fillId="7" borderId="0" xfId="0" applyFont="1" applyFill="1" applyAlignment="1">
      <alignment horizontal="center" vertical="center"/>
    </xf>
    <xf numFmtId="0" fontId="21" fillId="6" borderId="0" xfId="0" applyFont="1" applyFill="1" applyAlignment="1">
      <alignment horizontal="center"/>
    </xf>
    <xf numFmtId="0" fontId="6" fillId="3" borderId="0" xfId="0" applyFont="1" applyFill="1" applyAlignment="1">
      <alignment horizontal="center" vertical="center" wrapText="1"/>
    </xf>
    <xf numFmtId="0" fontId="3" fillId="9" borderId="13" xfId="0" applyFont="1" applyFill="1" applyBorder="1" applyAlignment="1">
      <alignment horizontal="center" vertical="center" wrapText="1"/>
    </xf>
    <xf numFmtId="0" fontId="36" fillId="7" borderId="15"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9" fillId="0" borderId="0" xfId="0" applyFont="1" applyAlignment="1">
      <alignment horizontal="center"/>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Alignment="1">
      <alignment horizontal="center" vertical="center"/>
    </xf>
    <xf numFmtId="0" fontId="10" fillId="0" borderId="0" xfId="0" applyFont="1" applyAlignment="1">
      <alignment horizontal="center" vertical="center"/>
    </xf>
    <xf numFmtId="0" fontId="34" fillId="8" borderId="4" xfId="0" applyFont="1" applyFill="1" applyBorder="1" applyAlignment="1" applyProtection="1">
      <alignment horizontal="center"/>
      <protection locked="0"/>
    </xf>
    <xf numFmtId="0" fontId="34" fillId="8" borderId="5" xfId="0" applyFont="1" applyFill="1" applyBorder="1" applyAlignment="1" applyProtection="1">
      <alignment horizontal="center"/>
      <protection locked="0"/>
    </xf>
    <xf numFmtId="0" fontId="34" fillId="8" borderId="6" xfId="0" applyFont="1" applyFill="1" applyBorder="1" applyAlignment="1" applyProtection="1">
      <alignment horizontal="center"/>
      <protection locked="0"/>
    </xf>
    <xf numFmtId="0" fontId="34" fillId="11" borderId="4" xfId="0" applyFont="1" applyFill="1" applyBorder="1" applyAlignment="1" applyProtection="1">
      <alignment horizontal="center"/>
      <protection locked="0"/>
    </xf>
    <xf numFmtId="0" fontId="34" fillId="11" borderId="5" xfId="0" applyFont="1" applyFill="1" applyBorder="1" applyAlignment="1" applyProtection="1">
      <alignment horizontal="center"/>
      <protection locked="0"/>
    </xf>
    <xf numFmtId="0" fontId="34" fillId="11" borderId="6" xfId="0" applyFont="1" applyFill="1" applyBorder="1" applyAlignment="1" applyProtection="1">
      <alignment horizontal="center"/>
      <protection locked="0"/>
    </xf>
    <xf numFmtId="0" fontId="46" fillId="7" borderId="18" xfId="0" applyFont="1" applyFill="1" applyBorder="1" applyAlignment="1">
      <alignment horizontal="center" vertical="center" textRotation="90"/>
    </xf>
    <xf numFmtId="0" fontId="46" fillId="7" borderId="20" xfId="0" applyFont="1" applyFill="1" applyBorder="1" applyAlignment="1">
      <alignment horizontal="center" vertical="center" textRotation="90"/>
    </xf>
    <xf numFmtId="0" fontId="46" fillId="7" borderId="17" xfId="0" applyFont="1" applyFill="1" applyBorder="1" applyAlignment="1">
      <alignment horizontal="center" vertical="center" textRotation="90"/>
    </xf>
    <xf numFmtId="0" fontId="48" fillId="10" borderId="0" xfId="0" applyFont="1" applyFill="1" applyBorder="1" applyAlignment="1" applyProtection="1">
      <alignment horizontal="center" vertical="center"/>
      <protection locked="0"/>
    </xf>
    <xf numFmtId="0" fontId="48" fillId="10" borderId="0" xfId="0" applyFont="1" applyFill="1" applyBorder="1" applyAlignment="1" applyProtection="1">
      <alignment horizontal="left" vertical="center"/>
      <protection locked="0"/>
    </xf>
    <xf numFmtId="0" fontId="11" fillId="10" borderId="0" xfId="0" applyFont="1" applyFill="1" applyBorder="1" applyAlignment="1" applyProtection="1">
      <alignment horizontal="center" vertical="center"/>
      <protection locked="0"/>
    </xf>
    <xf numFmtId="0" fontId="20" fillId="13" borderId="0" xfId="0" applyFont="1" applyFill="1" applyBorder="1" applyAlignment="1" applyProtection="1">
      <alignment horizontal="center" vertical="center"/>
      <protection locked="0"/>
    </xf>
    <xf numFmtId="14" fontId="39" fillId="4" borderId="0" xfId="0" applyNumberFormat="1" applyFont="1" applyFill="1" applyBorder="1" applyAlignment="1" applyProtection="1">
      <alignment horizontal="center" vertical="center"/>
      <protection locked="0"/>
    </xf>
    <xf numFmtId="14" fontId="30" fillId="9" borderId="3" xfId="0" applyNumberFormat="1" applyFont="1" applyFill="1" applyBorder="1" applyAlignment="1" applyProtection="1">
      <alignment horizontal="center" wrapText="1"/>
      <protection locked="0"/>
    </xf>
    <xf numFmtId="0" fontId="48" fillId="10" borderId="0" xfId="0" applyFont="1" applyFill="1" applyBorder="1" applyAlignment="1" applyProtection="1">
      <alignment horizontal="right" vertical="center"/>
      <protection locked="0"/>
    </xf>
    <xf numFmtId="0" fontId="45" fillId="9" borderId="3" xfId="0" applyFont="1" applyFill="1" applyBorder="1" applyAlignment="1" applyProtection="1">
      <alignment horizontal="right" vertical="center"/>
      <protection locked="0"/>
    </xf>
  </cellXfs>
  <cellStyles count="1">
    <cellStyle name="Normal" xfId="0" builtinId="0"/>
  </cellStyles>
  <dxfs count="44">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center" vertical="center" textRotation="0" wrapText="0" indent="0" relativeIndent="255" justifyLastLine="0" shrinkToFit="0" readingOrder="0"/>
      <border diagonalUp="0" diagonalDown="0">
        <left style="thin">
          <color theme="1"/>
        </left>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center"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center"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font>
        <b/>
        <i val="0"/>
        <strike val="0"/>
        <condense val="0"/>
        <extend val="0"/>
        <outline val="0"/>
        <shadow val="0"/>
        <u val="none"/>
        <vertAlign val="baseline"/>
        <sz val="14"/>
        <color theme="1"/>
        <name val="Calibri"/>
        <scheme val="minor"/>
      </font>
      <numFmt numFmtId="164" formatCode="dd/mm/yyyy"/>
      <alignment horizontal="center" vertical="center" textRotation="0" wrapText="0" indent="0" relativeIndent="255" justifyLastLine="0" shrinkToFit="0" readingOrder="0"/>
      <border diagonalUp="0" diagonalDown="0">
        <left/>
        <right style="thin">
          <color theme="1"/>
        </right>
        <top style="thin">
          <color theme="1"/>
        </top>
        <bottom style="thin">
          <color theme="1"/>
        </bottom>
        <vertical style="thin">
          <color theme="1"/>
        </vertical>
        <horizontal style="thin">
          <color theme="1"/>
        </horizontal>
      </border>
    </dxf>
    <dxf>
      <border>
        <top style="thin">
          <color theme="1"/>
        </top>
      </border>
    </dxf>
    <dxf>
      <border diagonalUp="0" diagonalDown="0">
        <left style="thin">
          <color theme="1"/>
        </left>
        <right style="thin">
          <color theme="1"/>
        </right>
        <top style="thin">
          <color theme="1"/>
        </top>
        <bottom style="thin">
          <color theme="1"/>
        </bottom>
      </border>
    </dxf>
    <dxf>
      <font>
        <b/>
        <i val="0"/>
        <strike val="0"/>
        <condense val="0"/>
        <extend val="0"/>
        <outline val="0"/>
        <shadow val="0"/>
        <u val="none"/>
        <vertAlign val="baseline"/>
        <sz val="14"/>
        <color theme="1"/>
        <name val="Calibri"/>
        <scheme val="minor"/>
      </font>
      <alignment horizontal="left" vertical="center" textRotation="0" wrapText="0" indent="0" relativeIndent="255" justifyLastLine="0" shrinkToFit="0" readingOrder="0"/>
    </dxf>
    <dxf>
      <border>
        <bottom style="thin">
          <color indexed="64"/>
        </bottom>
      </border>
    </dxf>
    <dxf>
      <font>
        <b val="0"/>
        <i val="0"/>
        <strike val="0"/>
        <condense val="0"/>
        <extend val="0"/>
        <outline val="0"/>
        <shadow val="0"/>
        <u val="none"/>
        <vertAlign val="baseline"/>
        <sz val="14"/>
        <color theme="4" tint="-0.499984740745262"/>
        <name val="Times New Roman"/>
        <scheme val="none"/>
      </font>
      <fill>
        <patternFill patternType="solid">
          <fgColor indexed="64"/>
          <bgColor theme="7" tint="0.39997558519241921"/>
        </patternFill>
      </fill>
      <alignment horizontal="center" vertical="bottom" textRotation="0" wrapText="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border diagonalUp="0" diagonalDown="0" outline="0">
        <left style="thin">
          <color rgb="FF002060"/>
        </left>
        <right style="thin">
          <color rgb="FF002060"/>
        </right>
        <top style="thin">
          <color rgb="FF002060"/>
        </top>
        <bottom style="thin">
          <color rgb="FF002060"/>
        </bottom>
      </border>
    </dxf>
    <dxf>
      <font>
        <b/>
        <i val="0"/>
        <strike val="0"/>
        <condense val="0"/>
        <extend val="0"/>
        <outline val="0"/>
        <shadow val="0"/>
        <u val="none"/>
        <vertAlign val="baseline"/>
        <sz val="14"/>
        <color theme="1"/>
        <name val="Times New Roman"/>
        <scheme val="none"/>
      </font>
      <numFmt numFmtId="164" formatCode="dd/mm/yyyy"/>
      <alignment horizontal="center" vertical="bottom" textRotation="0" wrapText="0" indent="0" relativeIndent="255" justifyLastLine="0" shrinkToFit="0" readingOrder="0"/>
      <border diagonalUp="0" diagonalDown="0" outline="0">
        <left/>
        <right style="thin">
          <color rgb="FF002060"/>
        </right>
        <top style="thin">
          <color rgb="FF002060"/>
        </top>
        <bottom style="thin">
          <color rgb="FF002060"/>
        </bottom>
      </border>
    </dxf>
    <dxf>
      <border>
        <top style="double">
          <color rgb="FF00B050"/>
        </top>
      </border>
    </dxf>
    <dxf>
      <border diagonalUp="0" diagonalDown="0">
        <left style="double">
          <color rgb="FF00B050"/>
        </left>
        <right style="double">
          <color rgb="FF00B050"/>
        </right>
        <top style="double">
          <color rgb="FF00B050"/>
        </top>
        <bottom style="double">
          <color rgb="FF00B050"/>
        </bottom>
      </border>
    </dxf>
    <dxf>
      <font>
        <b val="0"/>
        <i val="0"/>
        <strike val="0"/>
        <condense val="0"/>
        <extend val="0"/>
        <outline val="0"/>
        <shadow val="0"/>
        <u val="none"/>
        <vertAlign val="baseline"/>
        <sz val="14"/>
        <color theme="1"/>
        <name val="Times New Roman"/>
        <scheme val="none"/>
      </font>
      <alignment horizontal="center" vertical="bottom" textRotation="0" wrapText="0" indent="0" relativeIndent="255" justifyLastLine="0" shrinkToFit="0" readingOrder="0"/>
    </dxf>
    <dxf>
      <border>
        <bottom style="thin">
          <color indexed="64"/>
        </bottom>
      </border>
    </dxf>
    <dxf>
      <font>
        <b val="0"/>
        <i val="0"/>
        <strike val="0"/>
        <condense val="0"/>
        <extend val="0"/>
        <outline val="0"/>
        <shadow val="0"/>
        <u val="none"/>
        <vertAlign val="baseline"/>
        <sz val="14"/>
        <color rgb="FF7030A0"/>
        <name val="Times New Roman"/>
        <scheme val="none"/>
      </font>
      <fill>
        <patternFill patternType="solid">
          <fgColor indexed="64"/>
          <bgColor theme="5" tint="0.39997558519241921"/>
        </patternFill>
      </fill>
      <alignment horizontal="center" vertical="bottom" textRotation="0" wrapText="0" indent="0" relativeIndent="255"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border diagonalUp="0" diagonalDown="0" outline="0">
        <left style="thin">
          <color theme="9" tint="-0.499984740745262"/>
        </left>
        <right style="thin">
          <color theme="9" tint="-0.499984740745262"/>
        </right>
        <top style="thin">
          <color theme="9" tint="-0.499984740745262"/>
        </top>
        <bottom style="thin">
          <color theme="9" tint="-0.499984740745262"/>
        </bottom>
      </border>
    </dxf>
    <dxf>
      <font>
        <b/>
        <i val="0"/>
        <strike val="0"/>
        <condense val="0"/>
        <extend val="0"/>
        <outline val="0"/>
        <shadow val="0"/>
        <u val="none"/>
        <vertAlign val="baseline"/>
        <sz val="20"/>
        <color theme="1"/>
        <name val="Times New Roman"/>
        <scheme val="none"/>
      </font>
      <numFmt numFmtId="164" formatCode="dd/mm/yyyy"/>
      <alignment horizontal="general" vertical="bottom" textRotation="0" wrapText="0" indent="0" relativeIndent="255" justifyLastLine="0" shrinkToFit="0" readingOrder="0"/>
      <border diagonalUp="0" diagonalDown="0" outline="0">
        <left/>
        <right style="thin">
          <color theme="9" tint="-0.499984740745262"/>
        </right>
        <top style="thin">
          <color theme="9" tint="-0.499984740745262"/>
        </top>
        <bottom style="thin">
          <color theme="9" tint="-0.499984740745262"/>
        </bottom>
      </border>
    </dxf>
    <dxf>
      <border>
        <top style="thin">
          <color theme="9" tint="-0.499984740745262"/>
        </top>
      </border>
    </dxf>
    <dxf>
      <border diagonalUp="0" diagonalDown="0">
        <left style="thin">
          <color theme="9" tint="-0.499984740745262"/>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20"/>
        <color theme="1"/>
        <name val="Times New Roman"/>
        <scheme val="none"/>
      </font>
      <alignment horizontal="general" vertical="bottom" textRotation="0" wrapText="0" indent="0" relativeIndent="255" justifyLastLine="0" shrinkToFit="0" readingOrder="0"/>
    </dxf>
    <dxf>
      <font>
        <b val="0"/>
        <i val="0"/>
        <strike val="0"/>
        <condense val="0"/>
        <extend val="0"/>
        <outline val="0"/>
        <shadow val="0"/>
        <u val="none"/>
        <vertAlign val="baseline"/>
        <sz val="14"/>
        <color rgb="FF00B0F0"/>
        <name val="Times New Roman"/>
        <scheme val="none"/>
      </font>
      <fill>
        <patternFill patternType="solid">
          <fgColor indexed="64"/>
          <bgColor theme="7" tint="0.59999389629810485"/>
        </patternFill>
      </fill>
      <alignment horizontal="center" vertical="bottom" textRotation="0" wrapText="0" indent="0" relativeIndent="255" justifyLastLine="0" shrinkToFit="0" readingOrder="0"/>
      <border diagonalUp="0" diagonalDown="0" outline="0">
        <left style="thin">
          <color theme="9" tint="-0.499984740745262"/>
        </left>
        <right style="thin">
          <color theme="9"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11</xdr:col>
      <xdr:colOff>115291</xdr:colOff>
      <xdr:row>0</xdr:row>
      <xdr:rowOff>1912833</xdr:rowOff>
    </xdr:from>
    <xdr:to>
      <xdr:col>13</xdr:col>
      <xdr:colOff>172358</xdr:colOff>
      <xdr:row>4</xdr:row>
      <xdr:rowOff>9071</xdr:rowOff>
    </xdr:to>
    <xdr:sp macro="[0]!fetch" textlink="">
      <xdr:nvSpPr>
        <xdr:cNvPr id="2" name="Left Arrow 1"/>
        <xdr:cNvSpPr/>
      </xdr:nvSpPr>
      <xdr:spPr>
        <a:xfrm>
          <a:off x="12071434" y="1912833"/>
          <a:ext cx="1272638" cy="935595"/>
        </a:xfrm>
        <a:prstGeom prst="leftArrow">
          <a:avLst/>
        </a:prstGeom>
        <a:effectLst>
          <a:glow rad="228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400" b="1"/>
            <a:t>Click Here</a:t>
          </a:r>
        </a:p>
      </xdr:txBody>
    </xdr:sp>
    <xdr:clientData/>
  </xdr:twoCellAnchor>
</xdr:wsDr>
</file>

<file path=xl/tables/table1.xml><?xml version="1.0" encoding="utf-8"?>
<table xmlns="http://schemas.openxmlformats.org/spreadsheetml/2006/main" id="1" name="Table1" displayName="Table1" ref="A2:J22" totalsRowShown="0" headerRowDxfId="43" dataDxfId="42" tableBorderDxfId="41" totalsRowBorderDxfId="40">
  <tableColumns count="10">
    <tableColumn id="1" name="Date" dataDxfId="39"/>
    <tableColumn id="2" name="Name of Student" dataDxfId="38"/>
    <tableColumn id="3" name="Class" dataDxfId="37"/>
    <tableColumn id="9" name="Gender" dataDxfId="36"/>
    <tableColumn id="4" name="Category" dataDxfId="35"/>
    <tableColumn id="5" name="Father's Name" dataDxfId="34"/>
    <tableColumn id="6" name="Mother's Name" dataDxfId="33"/>
    <tableColumn id="7" name="Contact Number" dataDxfId="32"/>
    <tableColumn id="10" name="Addresss" dataDxfId="31"/>
    <tableColumn id="8" name="Alloted S.R.No." dataDxfId="30"/>
  </tableColumns>
  <tableStyleInfo name="TableStyleLight21" showFirstColumn="0" showLastColumn="0" showRowStripes="1" showColumnStripes="0"/>
</table>
</file>

<file path=xl/tables/table2.xml><?xml version="1.0" encoding="utf-8"?>
<table xmlns="http://schemas.openxmlformats.org/spreadsheetml/2006/main" id="2" name="Table13" displayName="Table13" ref="B2:K3" totalsRowShown="0" headerRowDxfId="29" dataDxfId="27" headerRowBorderDxfId="28" tableBorderDxfId="26" totalsRowBorderDxfId="25">
  <tableColumns count="10">
    <tableColumn id="1" name="Date" dataDxfId="24"/>
    <tableColumn id="2" name="Name of Student" dataDxfId="23"/>
    <tableColumn id="3" name="Class" dataDxfId="22"/>
    <tableColumn id="4" name="Gender" dataDxfId="21"/>
    <tableColumn id="9" name="Category" dataDxfId="20"/>
    <tableColumn id="5" name="Father's Name" dataDxfId="19"/>
    <tableColumn id="6" name="Mother's Name" dataDxfId="18"/>
    <tableColumn id="8" name="Contact Number" dataDxfId="17"/>
    <tableColumn id="10" name="Addresss" dataDxfId="16"/>
    <tableColumn id="7" name="Alloted S.R.No." dataDxfId="15"/>
  </tableColumns>
  <tableStyleInfo name="TableStyleMedium2" showFirstColumn="0" showLastColumn="0" showRowStripes="1" showColumnStripes="0"/>
</table>
</file>

<file path=xl/tables/table3.xml><?xml version="1.0" encoding="utf-8"?>
<table xmlns="http://schemas.openxmlformats.org/spreadsheetml/2006/main" id="3" name="Table134" displayName="Table134" ref="B6:K105" totalsRowShown="0" headerRowDxfId="14" dataDxfId="12" headerRowBorderDxfId="13" tableBorderDxfId="11" totalsRowBorderDxfId="10">
  <tableColumns count="10">
    <tableColumn id="1" name="Date" dataDxfId="9"/>
    <tableColumn id="2" name="Name of Student" dataDxfId="8"/>
    <tableColumn id="3" name="Class" dataDxfId="7"/>
    <tableColumn id="4" name="Gender" dataDxfId="6"/>
    <tableColumn id="9" name="Category" dataDxfId="5"/>
    <tableColumn id="5" name="Father's Name" dataDxfId="4"/>
    <tableColumn id="6" name="Mother's Name" dataDxfId="3"/>
    <tableColumn id="8" name="Contact Number" dataDxfId="2"/>
    <tableColumn id="10" name="Addresss" dataDxfId="1"/>
    <tableColumn id="7" name="Alloted S.R.No."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rgb="FFFF0000"/>
  </sheetPr>
  <dimension ref="A1:H10"/>
  <sheetViews>
    <sheetView tabSelected="1" workbookViewId="0">
      <selection activeCell="A7" sqref="A7:H7"/>
    </sheetView>
  </sheetViews>
  <sheetFormatPr defaultColWidth="0" defaultRowHeight="14.5" zeroHeight="1"/>
  <cols>
    <col min="1" max="7" width="8.7265625" customWidth="1"/>
    <col min="8" max="8" width="99.81640625" customWidth="1"/>
    <col min="9" max="16384" width="8.7265625" hidden="1"/>
  </cols>
  <sheetData>
    <row r="1" spans="1:8">
      <c r="A1" s="55" t="s">
        <v>0</v>
      </c>
      <c r="B1" s="55"/>
      <c r="C1" s="55"/>
      <c r="D1" s="55"/>
      <c r="E1" s="55"/>
      <c r="F1" s="55"/>
      <c r="G1" s="55"/>
      <c r="H1" s="55"/>
    </row>
    <row r="2" spans="1:8">
      <c r="A2" s="55"/>
      <c r="B2" s="55"/>
      <c r="C2" s="55"/>
      <c r="D2" s="55"/>
      <c r="E2" s="55"/>
      <c r="F2" s="55"/>
      <c r="G2" s="55"/>
      <c r="H2" s="55"/>
    </row>
    <row r="3" spans="1:8" ht="27.5">
      <c r="A3" s="56" t="s">
        <v>1</v>
      </c>
      <c r="B3" s="56"/>
      <c r="C3" s="56"/>
      <c r="D3" s="56"/>
      <c r="E3" s="56"/>
      <c r="F3" s="56"/>
      <c r="G3" s="56"/>
      <c r="H3" s="56"/>
    </row>
    <row r="4" spans="1:8" ht="20.5">
      <c r="A4" s="57" t="s">
        <v>2</v>
      </c>
      <c r="B4" s="57"/>
      <c r="C4" s="57"/>
      <c r="D4" s="57"/>
      <c r="E4" s="57"/>
      <c r="F4" s="57"/>
      <c r="G4" s="57"/>
      <c r="H4" s="57"/>
    </row>
    <row r="5" spans="1:8" ht="25.5">
      <c r="A5" s="60" t="s">
        <v>52</v>
      </c>
      <c r="B5" s="60"/>
      <c r="C5" s="60"/>
      <c r="D5" s="60"/>
      <c r="E5" s="60"/>
      <c r="F5" s="60"/>
      <c r="G5" s="60"/>
      <c r="H5" s="60"/>
    </row>
    <row r="6" spans="1:8" ht="23">
      <c r="A6" s="54" t="s">
        <v>53</v>
      </c>
      <c r="B6" s="54"/>
      <c r="C6" s="54"/>
      <c r="D6" s="54"/>
      <c r="E6" s="54"/>
      <c r="F6" s="54"/>
      <c r="G6" s="54"/>
      <c r="H6" s="54"/>
    </row>
    <row r="7" spans="1:8" ht="47.5" customHeight="1">
      <c r="A7" s="58" t="s">
        <v>54</v>
      </c>
      <c r="B7" s="58"/>
      <c r="C7" s="58"/>
      <c r="D7" s="58"/>
      <c r="E7" s="58"/>
      <c r="F7" s="58"/>
      <c r="G7" s="58"/>
      <c r="H7" s="58"/>
    </row>
    <row r="8" spans="1:8" ht="23">
      <c r="A8" s="59" t="s">
        <v>55</v>
      </c>
      <c r="B8" s="59"/>
      <c r="C8" s="59"/>
      <c r="D8" s="59"/>
      <c r="E8" s="59"/>
      <c r="F8" s="59"/>
      <c r="G8" s="59"/>
      <c r="H8" s="59"/>
    </row>
    <row r="9" spans="1:8" ht="23">
      <c r="A9" s="53" t="s">
        <v>57</v>
      </c>
      <c r="B9" s="53"/>
      <c r="C9" s="53"/>
      <c r="D9" s="53"/>
      <c r="E9" s="53"/>
      <c r="F9" s="53"/>
      <c r="G9" s="53"/>
      <c r="H9" s="53"/>
    </row>
    <row r="10" spans="1:8" ht="23">
      <c r="A10" s="54" t="s">
        <v>56</v>
      </c>
      <c r="B10" s="54"/>
      <c r="C10" s="54"/>
      <c r="D10" s="54"/>
      <c r="E10" s="54"/>
      <c r="F10" s="54"/>
      <c r="G10" s="54"/>
      <c r="H10" s="54"/>
    </row>
  </sheetData>
  <sheetProtection sheet="1" objects="1" scenarios="1"/>
  <mergeCells count="9">
    <mergeCell ref="A9:H9"/>
    <mergeCell ref="A10:H10"/>
    <mergeCell ref="A1:H2"/>
    <mergeCell ref="A3:H3"/>
    <mergeCell ref="A4:H4"/>
    <mergeCell ref="A6:H6"/>
    <mergeCell ref="A7:H7"/>
    <mergeCell ref="A8:H8"/>
    <mergeCell ref="A5:H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tabColor theme="4" tint="-0.249977111117893"/>
    <pageSetUpPr fitToPage="1"/>
  </sheetPr>
  <dimension ref="A1:T500"/>
  <sheetViews>
    <sheetView workbookViewId="0">
      <pane ySplit="2" topLeftCell="A3" activePane="bottomLeft" state="frozen"/>
      <selection pane="bottomLeft" activeCell="D3" sqref="D3"/>
    </sheetView>
  </sheetViews>
  <sheetFormatPr defaultColWidth="0" defaultRowHeight="14.5" zeroHeight="1"/>
  <cols>
    <col min="1" max="1" width="18.6328125" bestFit="1" customWidth="1"/>
    <col min="2" max="2" width="19.08984375" bestFit="1" customWidth="1"/>
    <col min="3" max="3" width="6.81640625" bestFit="1" customWidth="1"/>
    <col min="4" max="4" width="8.81640625" customWidth="1"/>
    <col min="5" max="5" width="14.54296875" bestFit="1" customWidth="1"/>
    <col min="6" max="6" width="19.6328125" bestFit="1" customWidth="1"/>
    <col min="7" max="7" width="21.26953125" bestFit="1" customWidth="1"/>
    <col min="8" max="8" width="18.81640625" bestFit="1" customWidth="1"/>
    <col min="9" max="9" width="12.6328125" bestFit="1" customWidth="1"/>
    <col min="10" max="10" width="17.08984375" bestFit="1" customWidth="1"/>
    <col min="11" max="13" width="8.7265625" hidden="1" customWidth="1"/>
    <col min="14" max="14" width="10.36328125" hidden="1" customWidth="1"/>
    <col min="15" max="16" width="8.7265625" hidden="1" customWidth="1"/>
    <col min="17" max="17" width="18.54296875" hidden="1" customWidth="1"/>
    <col min="18" max="18" width="8.7265625" hidden="1" customWidth="1"/>
    <col min="19" max="19" width="11.81640625" hidden="1" customWidth="1"/>
    <col min="20" max="16384" width="8.7265625" hidden="1"/>
  </cols>
  <sheetData>
    <row r="1" spans="1:20" ht="44" customHeight="1">
      <c r="A1" s="61" t="s">
        <v>58</v>
      </c>
      <c r="B1" s="61"/>
      <c r="C1" s="61"/>
      <c r="D1" s="61"/>
      <c r="E1" s="61"/>
      <c r="F1" s="61"/>
      <c r="G1" s="61"/>
      <c r="H1" s="61"/>
      <c r="I1" s="61"/>
      <c r="J1" s="61"/>
    </row>
    <row r="2" spans="1:20" ht="18">
      <c r="A2" s="17" t="s">
        <v>3</v>
      </c>
      <c r="B2" s="17" t="s">
        <v>4</v>
      </c>
      <c r="C2" s="17" t="s">
        <v>5</v>
      </c>
      <c r="D2" s="17" t="s">
        <v>6</v>
      </c>
      <c r="E2" s="17" t="s">
        <v>35</v>
      </c>
      <c r="F2" s="17" t="s">
        <v>7</v>
      </c>
      <c r="G2" s="17" t="s">
        <v>8</v>
      </c>
      <c r="H2" s="17" t="s">
        <v>9</v>
      </c>
      <c r="I2" s="17" t="s">
        <v>36</v>
      </c>
      <c r="J2" s="17" t="s">
        <v>37</v>
      </c>
    </row>
    <row r="3" spans="1:20" ht="25">
      <c r="A3" s="18">
        <v>44013</v>
      </c>
      <c r="B3" s="19" t="s">
        <v>45</v>
      </c>
      <c r="C3" s="19">
        <v>12</v>
      </c>
      <c r="D3" s="19" t="s">
        <v>12</v>
      </c>
      <c r="E3" s="19" t="s">
        <v>51</v>
      </c>
      <c r="F3" s="19" t="s">
        <v>46</v>
      </c>
      <c r="G3" s="19" t="s">
        <v>47</v>
      </c>
      <c r="H3" s="19">
        <v>123456789</v>
      </c>
      <c r="I3" s="19" t="s">
        <v>48</v>
      </c>
      <c r="J3" s="20">
        <v>1212</v>
      </c>
      <c r="M3" s="27"/>
      <c r="N3" s="28">
        <f>'Report Section'!X4</f>
        <v>44013</v>
      </c>
      <c r="O3" s="27"/>
      <c r="P3" s="27"/>
      <c r="Q3" s="27"/>
      <c r="R3" s="27"/>
      <c r="S3" s="27"/>
      <c r="T3" s="27"/>
    </row>
    <row r="4" spans="1:20" ht="25">
      <c r="A4" s="18"/>
      <c r="B4" s="19"/>
      <c r="C4" s="19"/>
      <c r="D4" s="19"/>
      <c r="E4" s="19"/>
      <c r="F4" s="19"/>
      <c r="G4" s="19"/>
      <c r="H4" s="19"/>
      <c r="I4" s="19"/>
      <c r="J4" s="20"/>
      <c r="M4" s="27"/>
      <c r="N4" s="27"/>
      <c r="O4" s="27"/>
      <c r="P4" s="27"/>
      <c r="Q4" s="27"/>
      <c r="R4" s="27"/>
      <c r="S4" s="27"/>
      <c r="T4" s="27"/>
    </row>
    <row r="5" spans="1:20" ht="25.5">
      <c r="A5" s="18"/>
      <c r="B5" s="19"/>
      <c r="C5" s="19"/>
      <c r="D5" s="19"/>
      <c r="E5" s="19"/>
      <c r="F5" s="19"/>
      <c r="G5" s="19"/>
      <c r="H5" s="19"/>
      <c r="I5" s="19"/>
      <c r="J5" s="20"/>
      <c r="M5" s="29" t="s">
        <v>6</v>
      </c>
      <c r="N5" s="29"/>
      <c r="O5" s="29" t="s">
        <v>6</v>
      </c>
      <c r="P5" s="29"/>
      <c r="Q5" s="29" t="s">
        <v>3</v>
      </c>
      <c r="R5" s="27"/>
      <c r="S5" s="29" t="s">
        <v>5</v>
      </c>
      <c r="T5" s="27"/>
    </row>
    <row r="6" spans="1:20" ht="25.5">
      <c r="A6" s="18"/>
      <c r="B6" s="19"/>
      <c r="C6" s="19"/>
      <c r="D6" s="19"/>
      <c r="E6" s="19"/>
      <c r="F6" s="19"/>
      <c r="G6" s="19"/>
      <c r="H6" s="19"/>
      <c r="I6" s="19"/>
      <c r="J6" s="20"/>
      <c r="M6" s="29" t="s">
        <v>51</v>
      </c>
      <c r="N6" s="29"/>
      <c r="O6" s="29" t="s">
        <v>12</v>
      </c>
      <c r="P6" s="29"/>
      <c r="Q6" s="30">
        <v>44013</v>
      </c>
      <c r="R6" s="27"/>
      <c r="S6" s="29">
        <v>1</v>
      </c>
      <c r="T6" s="27"/>
    </row>
    <row r="7" spans="1:20" ht="25.5">
      <c r="A7" s="18"/>
      <c r="B7" s="19"/>
      <c r="C7" s="19"/>
      <c r="D7" s="19"/>
      <c r="E7" s="19"/>
      <c r="F7" s="19"/>
      <c r="G7" s="19"/>
      <c r="H7" s="19"/>
      <c r="I7" s="19"/>
      <c r="J7" s="20"/>
      <c r="M7" s="29" t="s">
        <v>40</v>
      </c>
      <c r="N7" s="29"/>
      <c r="O7" s="29" t="s">
        <v>13</v>
      </c>
      <c r="P7" s="29"/>
      <c r="Q7" s="30">
        <v>44014</v>
      </c>
      <c r="R7" s="27"/>
      <c r="S7" s="29">
        <v>2</v>
      </c>
      <c r="T7" s="27"/>
    </row>
    <row r="8" spans="1:20" ht="25.5">
      <c r="A8" s="18"/>
      <c r="B8" s="19"/>
      <c r="C8" s="19"/>
      <c r="D8" s="19"/>
      <c r="E8" s="19"/>
      <c r="F8" s="19"/>
      <c r="G8" s="19"/>
      <c r="H8" s="19"/>
      <c r="I8" s="19"/>
      <c r="J8" s="20"/>
      <c r="M8" s="29" t="s">
        <v>41</v>
      </c>
      <c r="N8" s="29"/>
      <c r="O8" s="29"/>
      <c r="P8" s="29"/>
      <c r="Q8" s="30">
        <v>44015</v>
      </c>
      <c r="R8" s="27"/>
      <c r="S8" s="29">
        <v>3</v>
      </c>
      <c r="T8" s="27"/>
    </row>
    <row r="9" spans="1:20" ht="25.5">
      <c r="A9" s="18"/>
      <c r="B9" s="19"/>
      <c r="C9" s="19"/>
      <c r="D9" s="19"/>
      <c r="E9" s="19"/>
      <c r="F9" s="19"/>
      <c r="G9" s="19"/>
      <c r="H9" s="19"/>
      <c r="I9" s="19"/>
      <c r="J9" s="20"/>
      <c r="M9" s="29" t="s">
        <v>38</v>
      </c>
      <c r="N9" s="29"/>
      <c r="O9" s="29"/>
      <c r="P9" s="29"/>
      <c r="Q9" s="30">
        <v>44016</v>
      </c>
      <c r="R9" s="27"/>
      <c r="S9" s="29">
        <v>4</v>
      </c>
      <c r="T9" s="27"/>
    </row>
    <row r="10" spans="1:20" ht="25.5">
      <c r="A10" s="18"/>
      <c r="B10" s="19"/>
      <c r="C10" s="19"/>
      <c r="D10" s="19"/>
      <c r="E10" s="19"/>
      <c r="F10" s="19"/>
      <c r="G10" s="19"/>
      <c r="H10" s="19"/>
      <c r="I10" s="19"/>
      <c r="J10" s="20"/>
      <c r="M10" s="29" t="s">
        <v>42</v>
      </c>
      <c r="N10" s="29"/>
      <c r="O10" s="29"/>
      <c r="P10" s="29"/>
      <c r="Q10" s="30">
        <v>44017</v>
      </c>
      <c r="R10" s="27"/>
      <c r="S10" s="29">
        <v>5</v>
      </c>
      <c r="T10" s="27"/>
    </row>
    <row r="11" spans="1:20" ht="25.5">
      <c r="A11" s="18"/>
      <c r="B11" s="19"/>
      <c r="C11" s="19"/>
      <c r="D11" s="19"/>
      <c r="E11" s="19"/>
      <c r="F11" s="19"/>
      <c r="G11" s="19"/>
      <c r="H11" s="19"/>
      <c r="I11" s="19"/>
      <c r="J11" s="20"/>
      <c r="M11" s="29" t="s">
        <v>43</v>
      </c>
      <c r="N11" s="29"/>
      <c r="O11" s="29"/>
      <c r="P11" s="29"/>
      <c r="Q11" s="30">
        <v>44018</v>
      </c>
      <c r="R11" s="27"/>
      <c r="S11" s="29">
        <v>6</v>
      </c>
      <c r="T11" s="27"/>
    </row>
    <row r="12" spans="1:20" ht="25.5">
      <c r="A12" s="18"/>
      <c r="B12" s="19"/>
      <c r="C12" s="19"/>
      <c r="D12" s="19"/>
      <c r="E12" s="19"/>
      <c r="F12" s="19"/>
      <c r="G12" s="19"/>
      <c r="H12" s="19"/>
      <c r="I12" s="19"/>
      <c r="J12" s="20"/>
      <c r="M12" s="29"/>
      <c r="N12" s="29"/>
      <c r="O12" s="29"/>
      <c r="P12" s="29"/>
      <c r="Q12" s="30">
        <v>44019</v>
      </c>
      <c r="R12" s="27"/>
      <c r="S12" s="29">
        <v>7</v>
      </c>
      <c r="T12" s="27"/>
    </row>
    <row r="13" spans="1:20" ht="25.5">
      <c r="A13" s="21"/>
      <c r="B13" s="22"/>
      <c r="C13" s="22"/>
      <c r="D13" s="22"/>
      <c r="E13" s="22"/>
      <c r="F13" s="22"/>
      <c r="G13" s="22"/>
      <c r="H13" s="22"/>
      <c r="I13" s="22"/>
      <c r="J13" s="23"/>
      <c r="M13" s="29"/>
      <c r="N13" s="29"/>
      <c r="O13" s="29"/>
      <c r="P13" s="29"/>
      <c r="Q13" s="30">
        <v>44020</v>
      </c>
      <c r="R13" s="27"/>
      <c r="S13" s="29">
        <v>8</v>
      </c>
      <c r="T13" s="27"/>
    </row>
    <row r="14" spans="1:20" ht="25.5">
      <c r="A14" s="21"/>
      <c r="B14" s="22"/>
      <c r="C14" s="22"/>
      <c r="D14" s="22"/>
      <c r="E14" s="22"/>
      <c r="F14" s="22"/>
      <c r="G14" s="22"/>
      <c r="H14" s="22"/>
      <c r="I14" s="22"/>
      <c r="J14" s="23"/>
      <c r="M14" s="29"/>
      <c r="N14" s="29"/>
      <c r="O14" s="29"/>
      <c r="P14" s="29"/>
      <c r="Q14" s="30">
        <v>44021</v>
      </c>
      <c r="R14" s="27"/>
      <c r="S14" s="29">
        <v>9</v>
      </c>
      <c r="T14" s="27"/>
    </row>
    <row r="15" spans="1:20" ht="25.5">
      <c r="A15" s="21"/>
      <c r="B15" s="22"/>
      <c r="C15" s="22"/>
      <c r="D15" s="22"/>
      <c r="E15" s="22"/>
      <c r="F15" s="22"/>
      <c r="G15" s="22"/>
      <c r="H15" s="22"/>
      <c r="I15" s="22"/>
      <c r="J15" s="23"/>
      <c r="M15" s="29"/>
      <c r="N15" s="29"/>
      <c r="O15" s="29"/>
      <c r="P15" s="29"/>
      <c r="Q15" s="30">
        <v>44022</v>
      </c>
      <c r="R15" s="27"/>
      <c r="S15" s="29">
        <v>10</v>
      </c>
      <c r="T15" s="27"/>
    </row>
    <row r="16" spans="1:20" ht="25.5">
      <c r="A16" s="21"/>
      <c r="B16" s="22"/>
      <c r="C16" s="22"/>
      <c r="D16" s="22"/>
      <c r="E16" s="22"/>
      <c r="F16" s="22"/>
      <c r="G16" s="22"/>
      <c r="H16" s="22"/>
      <c r="I16" s="22"/>
      <c r="J16" s="23"/>
      <c r="M16" s="29"/>
      <c r="N16" s="29"/>
      <c r="O16" s="29"/>
      <c r="P16" s="29"/>
      <c r="Q16" s="30">
        <v>44023</v>
      </c>
      <c r="R16" s="27"/>
      <c r="S16" s="29">
        <v>11</v>
      </c>
      <c r="T16" s="27"/>
    </row>
    <row r="17" spans="1:20" ht="25.5">
      <c r="A17" s="21"/>
      <c r="B17" s="22"/>
      <c r="C17" s="22"/>
      <c r="D17" s="22"/>
      <c r="E17" s="22"/>
      <c r="F17" s="22"/>
      <c r="G17" s="22"/>
      <c r="H17" s="22"/>
      <c r="I17" s="22"/>
      <c r="J17" s="23"/>
      <c r="M17" s="29"/>
      <c r="N17" s="29"/>
      <c r="O17" s="29"/>
      <c r="P17" s="29"/>
      <c r="Q17" s="30">
        <v>44024</v>
      </c>
      <c r="R17" s="27"/>
      <c r="S17" s="29">
        <v>12</v>
      </c>
      <c r="T17" s="27"/>
    </row>
    <row r="18" spans="1:20" ht="25.5">
      <c r="A18" s="21"/>
      <c r="B18" s="22"/>
      <c r="C18" s="22"/>
      <c r="D18" s="22"/>
      <c r="E18" s="22"/>
      <c r="F18" s="22"/>
      <c r="G18" s="22"/>
      <c r="H18" s="22"/>
      <c r="I18" s="22"/>
      <c r="J18" s="23"/>
      <c r="M18" s="29"/>
      <c r="N18" s="29"/>
      <c r="O18" s="29"/>
      <c r="P18" s="29"/>
      <c r="Q18" s="30">
        <v>44025</v>
      </c>
      <c r="R18" s="27"/>
      <c r="S18" s="27"/>
      <c r="T18" s="27"/>
    </row>
    <row r="19" spans="1:20" ht="25.5">
      <c r="A19" s="21"/>
      <c r="B19" s="22"/>
      <c r="C19" s="22"/>
      <c r="D19" s="22"/>
      <c r="E19" s="22"/>
      <c r="F19" s="22"/>
      <c r="G19" s="22"/>
      <c r="H19" s="22"/>
      <c r="I19" s="22"/>
      <c r="J19" s="23"/>
      <c r="M19" s="29"/>
      <c r="N19" s="29"/>
      <c r="O19" s="29"/>
      <c r="P19" s="29"/>
      <c r="Q19" s="30">
        <v>44026</v>
      </c>
      <c r="R19" s="27"/>
      <c r="S19" s="27"/>
      <c r="T19" s="27"/>
    </row>
    <row r="20" spans="1:20" ht="25.5">
      <c r="A20" s="21"/>
      <c r="B20" s="22"/>
      <c r="C20" s="22"/>
      <c r="D20" s="22"/>
      <c r="E20" s="22"/>
      <c r="F20" s="22"/>
      <c r="G20" s="22"/>
      <c r="H20" s="22"/>
      <c r="I20" s="22"/>
      <c r="J20" s="23"/>
      <c r="M20" s="29"/>
      <c r="N20" s="29"/>
      <c r="O20" s="29"/>
      <c r="P20" s="29"/>
      <c r="Q20" s="30">
        <v>44027</v>
      </c>
      <c r="R20" s="27"/>
      <c r="S20" s="27"/>
      <c r="T20" s="27"/>
    </row>
    <row r="21" spans="1:20" ht="25.5">
      <c r="A21" s="21"/>
      <c r="B21" s="22"/>
      <c r="C21" s="22"/>
      <c r="D21" s="22"/>
      <c r="E21" s="22"/>
      <c r="F21" s="22"/>
      <c r="G21" s="22"/>
      <c r="H21" s="22"/>
      <c r="I21" s="22"/>
      <c r="J21" s="23"/>
      <c r="M21" s="29"/>
      <c r="N21" s="29"/>
      <c r="O21" s="29"/>
      <c r="P21" s="29"/>
      <c r="Q21" s="30">
        <v>44028</v>
      </c>
      <c r="R21" s="27"/>
      <c r="S21" s="27"/>
      <c r="T21" s="27"/>
    </row>
    <row r="22" spans="1:20" ht="25.5">
      <c r="A22" s="24"/>
      <c r="B22" s="25"/>
      <c r="C22" s="25"/>
      <c r="D22" s="25"/>
      <c r="E22" s="25"/>
      <c r="F22" s="25"/>
      <c r="G22" s="25"/>
      <c r="H22" s="25"/>
      <c r="I22" s="25"/>
      <c r="J22" s="26"/>
      <c r="M22" s="29"/>
      <c r="N22" s="29"/>
      <c r="O22" s="29"/>
      <c r="P22" s="29"/>
      <c r="Q22" s="30">
        <v>44029</v>
      </c>
      <c r="R22" s="27"/>
      <c r="S22" s="27"/>
      <c r="T22" s="27"/>
    </row>
    <row r="23" spans="1:20" ht="25.5">
      <c r="M23" s="29"/>
      <c r="N23" s="29"/>
      <c r="O23" s="29"/>
      <c r="P23" s="29"/>
      <c r="Q23" s="30">
        <v>44030</v>
      </c>
      <c r="R23" s="27"/>
      <c r="S23" s="27"/>
      <c r="T23" s="27"/>
    </row>
    <row r="24" spans="1:20" ht="25.5">
      <c r="M24" s="29"/>
      <c r="N24" s="29"/>
      <c r="O24" s="29"/>
      <c r="P24" s="29"/>
      <c r="Q24" s="30">
        <v>44031</v>
      </c>
      <c r="R24" s="27"/>
      <c r="S24" s="27"/>
      <c r="T24" s="27"/>
    </row>
    <row r="25" spans="1:20" ht="25.5">
      <c r="M25" s="29"/>
      <c r="N25" s="29"/>
      <c r="O25" s="29"/>
      <c r="P25" s="29"/>
      <c r="Q25" s="30">
        <v>44032</v>
      </c>
      <c r="R25" s="27"/>
      <c r="S25" s="27"/>
      <c r="T25" s="27"/>
    </row>
    <row r="26" spans="1:20" ht="25.5">
      <c r="M26" s="29"/>
      <c r="N26" s="29"/>
      <c r="O26" s="29"/>
      <c r="P26" s="29"/>
      <c r="Q26" s="30">
        <v>44033</v>
      </c>
      <c r="R26" s="27"/>
      <c r="S26" s="27"/>
      <c r="T26" s="27"/>
    </row>
    <row r="27" spans="1:20" ht="25.5">
      <c r="M27" s="29"/>
      <c r="N27" s="29"/>
      <c r="O27" s="29"/>
      <c r="P27" s="29"/>
      <c r="Q27" s="30">
        <v>44034</v>
      </c>
      <c r="R27" s="27"/>
      <c r="S27" s="27"/>
      <c r="T27" s="27"/>
    </row>
    <row r="28" spans="1:20" ht="25.5">
      <c r="M28" s="29"/>
      <c r="N28" s="29"/>
      <c r="O28" s="29"/>
      <c r="P28" s="29"/>
      <c r="Q28" s="30">
        <v>44035</v>
      </c>
      <c r="R28" s="27"/>
      <c r="S28" s="27"/>
      <c r="T28" s="27"/>
    </row>
    <row r="29" spans="1:20" ht="25.5">
      <c r="M29" s="29"/>
      <c r="N29" s="29"/>
      <c r="O29" s="29"/>
      <c r="P29" s="29"/>
      <c r="Q29" s="30">
        <v>44036</v>
      </c>
      <c r="R29" s="27"/>
      <c r="S29" s="27"/>
      <c r="T29" s="27"/>
    </row>
    <row r="30" spans="1:20" ht="25.5">
      <c r="M30" s="29"/>
      <c r="N30" s="29"/>
      <c r="O30" s="29"/>
      <c r="P30" s="29"/>
      <c r="Q30" s="30">
        <v>44037</v>
      </c>
      <c r="R30" s="27"/>
      <c r="S30" s="27"/>
      <c r="T30" s="27"/>
    </row>
    <row r="31" spans="1:20" ht="25.5">
      <c r="M31" s="29"/>
      <c r="N31" s="29"/>
      <c r="O31" s="29"/>
      <c r="P31" s="29"/>
      <c r="Q31" s="30">
        <v>44038</v>
      </c>
      <c r="R31" s="27"/>
      <c r="S31" s="27"/>
      <c r="T31" s="27"/>
    </row>
    <row r="32" spans="1:20" ht="25.5">
      <c r="M32" s="29"/>
      <c r="N32" s="29"/>
      <c r="O32" s="29"/>
      <c r="P32" s="29"/>
      <c r="Q32" s="30">
        <v>44039</v>
      </c>
      <c r="R32" s="27"/>
      <c r="S32" s="27"/>
      <c r="T32" s="27"/>
    </row>
    <row r="33" spans="13:20" ht="25.5">
      <c r="M33" s="29"/>
      <c r="N33" s="29"/>
      <c r="O33" s="29"/>
      <c r="P33" s="29"/>
      <c r="Q33" s="30">
        <v>44040</v>
      </c>
      <c r="R33" s="27"/>
      <c r="S33" s="27"/>
      <c r="T33" s="27"/>
    </row>
    <row r="34" spans="13:20" ht="25.5">
      <c r="M34" s="29"/>
      <c r="N34" s="29"/>
      <c r="O34" s="29"/>
      <c r="P34" s="29"/>
      <c r="Q34" s="30">
        <v>44041</v>
      </c>
      <c r="R34" s="27"/>
      <c r="S34" s="27"/>
      <c r="T34" s="27"/>
    </row>
    <row r="35" spans="13:20" ht="25.5">
      <c r="M35" s="29"/>
      <c r="N35" s="29"/>
      <c r="O35" s="29"/>
      <c r="P35" s="29"/>
      <c r="Q35" s="30">
        <v>44042</v>
      </c>
      <c r="R35" s="27"/>
      <c r="S35" s="27"/>
      <c r="T35" s="27"/>
    </row>
    <row r="36" spans="13:20" ht="25.5">
      <c r="M36" s="29"/>
      <c r="N36" s="29"/>
      <c r="O36" s="29"/>
      <c r="P36" s="29"/>
      <c r="Q36" s="30">
        <v>44043</v>
      </c>
      <c r="R36" s="27"/>
      <c r="S36" s="27"/>
      <c r="T36" s="27"/>
    </row>
    <row r="37" spans="13:20" ht="25.5">
      <c r="M37" s="29"/>
      <c r="N37" s="29"/>
      <c r="O37" s="29"/>
      <c r="P37" s="29"/>
      <c r="Q37" s="30">
        <v>44044</v>
      </c>
      <c r="R37" s="27"/>
      <c r="S37" s="27"/>
      <c r="T37" s="27"/>
    </row>
    <row r="38" spans="13:20" ht="25.5">
      <c r="M38" s="29"/>
      <c r="N38" s="29"/>
      <c r="O38" s="29"/>
      <c r="P38" s="29"/>
      <c r="Q38" s="30">
        <v>44045</v>
      </c>
      <c r="R38" s="27"/>
      <c r="S38" s="27"/>
      <c r="T38" s="27"/>
    </row>
    <row r="39" spans="13:20" ht="25.5">
      <c r="M39" s="29"/>
      <c r="N39" s="29"/>
      <c r="O39" s="29"/>
      <c r="P39" s="29"/>
      <c r="Q39" s="30">
        <v>44046</v>
      </c>
      <c r="R39" s="27"/>
      <c r="S39" s="27"/>
      <c r="T39" s="27"/>
    </row>
    <row r="40" spans="13:20" ht="25.5">
      <c r="M40" s="29"/>
      <c r="N40" s="29"/>
      <c r="O40" s="29"/>
      <c r="P40" s="29"/>
      <c r="Q40" s="30">
        <v>44047</v>
      </c>
      <c r="R40" s="27"/>
      <c r="S40" s="27"/>
      <c r="T40" s="27"/>
    </row>
    <row r="41" spans="13:20" ht="25.5">
      <c r="M41" s="29"/>
      <c r="N41" s="29"/>
      <c r="O41" s="29"/>
      <c r="P41" s="29"/>
      <c r="Q41" s="30">
        <v>44048</v>
      </c>
      <c r="R41" s="27"/>
      <c r="S41" s="27"/>
      <c r="T41" s="27"/>
    </row>
    <row r="42" spans="13:20" ht="25.5">
      <c r="M42" s="29"/>
      <c r="N42" s="29"/>
      <c r="O42" s="29"/>
      <c r="P42" s="29"/>
      <c r="Q42" s="30">
        <v>44049</v>
      </c>
      <c r="R42" s="27"/>
      <c r="S42" s="27"/>
      <c r="T42" s="27"/>
    </row>
    <row r="43" spans="13:20" ht="25.5">
      <c r="M43" s="29"/>
      <c r="N43" s="29"/>
      <c r="O43" s="29"/>
      <c r="P43" s="29"/>
      <c r="Q43" s="30">
        <v>44050</v>
      </c>
      <c r="R43" s="27"/>
      <c r="S43" s="27"/>
      <c r="T43" s="27"/>
    </row>
    <row r="44" spans="13:20" ht="25.5">
      <c r="M44" s="29"/>
      <c r="N44" s="29"/>
      <c r="O44" s="29"/>
      <c r="P44" s="29"/>
      <c r="Q44" s="30">
        <v>44051</v>
      </c>
      <c r="R44" s="27"/>
      <c r="S44" s="27"/>
      <c r="T44" s="27"/>
    </row>
    <row r="45" spans="13:20" ht="25.5">
      <c r="M45" s="29"/>
      <c r="N45" s="29"/>
      <c r="O45" s="29"/>
      <c r="P45" s="29"/>
      <c r="Q45" s="30">
        <v>44052</v>
      </c>
      <c r="R45" s="27"/>
      <c r="S45" s="27"/>
      <c r="T45" s="27"/>
    </row>
    <row r="46" spans="13:20" ht="25.5">
      <c r="M46" s="29"/>
      <c r="N46" s="29"/>
      <c r="O46" s="29"/>
      <c r="P46" s="29"/>
      <c r="Q46" s="30">
        <v>44053</v>
      </c>
      <c r="R46" s="27"/>
      <c r="S46" s="27"/>
      <c r="T46" s="27"/>
    </row>
    <row r="47" spans="13:20" ht="25.5">
      <c r="M47" s="29"/>
      <c r="N47" s="29"/>
      <c r="O47" s="29"/>
      <c r="P47" s="29"/>
      <c r="Q47" s="30">
        <v>44054</v>
      </c>
      <c r="R47" s="27"/>
      <c r="S47" s="27"/>
      <c r="T47" s="27"/>
    </row>
    <row r="48" spans="13:20" ht="25.5">
      <c r="M48" s="29"/>
      <c r="N48" s="29"/>
      <c r="O48" s="29"/>
      <c r="P48" s="29"/>
      <c r="Q48" s="30">
        <v>44055</v>
      </c>
      <c r="R48" s="27"/>
      <c r="S48" s="27"/>
      <c r="T48" s="27"/>
    </row>
    <row r="49" spans="13:20" ht="25.5">
      <c r="M49" s="29"/>
      <c r="N49" s="29"/>
      <c r="O49" s="29"/>
      <c r="P49" s="29"/>
      <c r="Q49" s="30">
        <v>44056</v>
      </c>
      <c r="R49" s="27"/>
      <c r="S49" s="27"/>
      <c r="T49" s="27"/>
    </row>
    <row r="50" spans="13:20" ht="25.5">
      <c r="M50" s="29"/>
      <c r="N50" s="29"/>
      <c r="O50" s="29"/>
      <c r="P50" s="29"/>
      <c r="Q50" s="30">
        <v>44057</v>
      </c>
      <c r="R50" s="27"/>
      <c r="S50" s="27"/>
      <c r="T50" s="27"/>
    </row>
    <row r="51" spans="13:20" ht="25.5">
      <c r="M51" s="29"/>
      <c r="N51" s="29"/>
      <c r="O51" s="29"/>
      <c r="P51" s="29"/>
      <c r="Q51" s="30">
        <v>44058</v>
      </c>
      <c r="R51" s="27"/>
      <c r="S51" s="27"/>
      <c r="T51" s="27"/>
    </row>
    <row r="52" spans="13:20" ht="25.5">
      <c r="M52" s="29"/>
      <c r="N52" s="29"/>
      <c r="O52" s="29"/>
      <c r="P52" s="29"/>
      <c r="Q52" s="30">
        <v>44059</v>
      </c>
      <c r="R52" s="27"/>
      <c r="S52" s="27"/>
      <c r="T52" s="27"/>
    </row>
    <row r="53" spans="13:20" ht="25.5">
      <c r="M53" s="29"/>
      <c r="N53" s="29"/>
      <c r="O53" s="29"/>
      <c r="P53" s="29"/>
      <c r="Q53" s="30">
        <v>44060</v>
      </c>
      <c r="R53" s="27"/>
      <c r="S53" s="27"/>
      <c r="T53" s="27"/>
    </row>
    <row r="54" spans="13:20" ht="25.5">
      <c r="M54" s="29"/>
      <c r="N54" s="29"/>
      <c r="O54" s="29"/>
      <c r="P54" s="29"/>
      <c r="Q54" s="30">
        <v>44061</v>
      </c>
      <c r="R54" s="27"/>
      <c r="S54" s="27"/>
      <c r="T54" s="27"/>
    </row>
    <row r="55" spans="13:20" ht="25.5">
      <c r="M55" s="29"/>
      <c r="N55" s="29"/>
      <c r="O55" s="29"/>
      <c r="P55" s="29"/>
      <c r="Q55" s="30">
        <v>44062</v>
      </c>
      <c r="R55" s="27"/>
      <c r="S55" s="27"/>
      <c r="T55" s="27"/>
    </row>
    <row r="56" spans="13:20" ht="25.5">
      <c r="M56" s="29"/>
      <c r="N56" s="29"/>
      <c r="O56" s="29"/>
      <c r="P56" s="29"/>
      <c r="Q56" s="30">
        <v>44063</v>
      </c>
      <c r="R56" s="27"/>
      <c r="S56" s="27"/>
      <c r="T56" s="27"/>
    </row>
    <row r="57" spans="13:20" ht="25.5">
      <c r="M57" s="29"/>
      <c r="N57" s="29"/>
      <c r="O57" s="29"/>
      <c r="P57" s="29"/>
      <c r="Q57" s="30">
        <v>44064</v>
      </c>
      <c r="R57" s="27"/>
      <c r="S57" s="27"/>
      <c r="T57" s="27"/>
    </row>
    <row r="58" spans="13:20" ht="25.5">
      <c r="M58" s="29"/>
      <c r="N58" s="29"/>
      <c r="O58" s="29"/>
      <c r="P58" s="29"/>
      <c r="Q58" s="30">
        <v>44065</v>
      </c>
      <c r="R58" s="27"/>
      <c r="S58" s="27"/>
      <c r="T58" s="27"/>
    </row>
    <row r="59" spans="13:20" ht="25.5">
      <c r="M59" s="29"/>
      <c r="N59" s="29"/>
      <c r="O59" s="29"/>
      <c r="P59" s="29"/>
      <c r="Q59" s="30">
        <v>44066</v>
      </c>
      <c r="R59" s="27"/>
      <c r="S59" s="27"/>
      <c r="T59" s="27"/>
    </row>
    <row r="60" spans="13:20" ht="25.5">
      <c r="M60" s="29"/>
      <c r="N60" s="29"/>
      <c r="O60" s="29"/>
      <c r="P60" s="29"/>
      <c r="Q60" s="30">
        <v>44067</v>
      </c>
      <c r="R60" s="27"/>
      <c r="S60" s="27"/>
      <c r="T60" s="27"/>
    </row>
    <row r="61" spans="13:20" ht="25.5">
      <c r="M61" s="29"/>
      <c r="N61" s="29"/>
      <c r="O61" s="29"/>
      <c r="P61" s="29"/>
      <c r="Q61" s="30">
        <v>44068</v>
      </c>
      <c r="R61" s="27"/>
      <c r="S61" s="27"/>
      <c r="T61" s="27"/>
    </row>
    <row r="62" spans="13:20" ht="25.5">
      <c r="M62" s="29"/>
      <c r="N62" s="29"/>
      <c r="O62" s="29"/>
      <c r="P62" s="29"/>
      <c r="Q62" s="30">
        <v>44069</v>
      </c>
      <c r="R62" s="27"/>
      <c r="S62" s="27"/>
      <c r="T62" s="27"/>
    </row>
    <row r="63" spans="13:20" ht="25.5">
      <c r="M63" s="29"/>
      <c r="N63" s="29"/>
      <c r="O63" s="29"/>
      <c r="P63" s="29"/>
      <c r="Q63" s="30">
        <v>44070</v>
      </c>
      <c r="R63" s="27"/>
      <c r="S63" s="27"/>
      <c r="T63" s="27"/>
    </row>
    <row r="64" spans="13:20" ht="25.5">
      <c r="M64" s="29"/>
      <c r="N64" s="29"/>
      <c r="O64" s="29"/>
      <c r="P64" s="29"/>
      <c r="Q64" s="30">
        <v>44071</v>
      </c>
      <c r="R64" s="27"/>
      <c r="S64" s="27"/>
      <c r="T64" s="27"/>
    </row>
    <row r="65" spans="13:20" ht="25.5">
      <c r="M65" s="29"/>
      <c r="N65" s="29"/>
      <c r="O65" s="29"/>
      <c r="P65" s="29"/>
      <c r="Q65" s="30">
        <v>44072</v>
      </c>
      <c r="R65" s="27"/>
      <c r="S65" s="27"/>
      <c r="T65" s="27"/>
    </row>
    <row r="66" spans="13:20" ht="25.5">
      <c r="M66" s="29"/>
      <c r="N66" s="29"/>
      <c r="O66" s="29"/>
      <c r="P66" s="29"/>
      <c r="Q66" s="30">
        <v>44073</v>
      </c>
      <c r="R66" s="27"/>
      <c r="S66" s="27"/>
      <c r="T66" s="27"/>
    </row>
    <row r="67" spans="13:20" ht="26">
      <c r="M67" s="16"/>
      <c r="N67" s="16"/>
      <c r="O67" s="16"/>
      <c r="P67" s="16"/>
      <c r="Q67" s="30">
        <v>44074</v>
      </c>
    </row>
    <row r="68" spans="13:20"/>
    <row r="69" spans="13:20"/>
    <row r="70" spans="13:20"/>
    <row r="71" spans="13:20"/>
    <row r="72" spans="13:20"/>
    <row r="73" spans="13:20"/>
    <row r="74" spans="13:20"/>
    <row r="75" spans="13:20"/>
    <row r="76" spans="13:20"/>
    <row r="77" spans="13:20"/>
    <row r="78" spans="13:20"/>
    <row r="79" spans="13:20"/>
    <row r="80" spans="13:2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mergeCells count="1">
    <mergeCell ref="A1:J1"/>
  </mergeCells>
  <dataValidations count="4">
    <dataValidation type="list" allowBlank="1" showInputMessage="1" showErrorMessage="1" sqref="A54 A3:A22">
      <formula1>$Q$6:$Q$67</formula1>
    </dataValidation>
    <dataValidation type="list" allowBlank="1" showInputMessage="1" showErrorMessage="1" sqref="C3:C22">
      <formula1>$S$6:$S$17</formula1>
    </dataValidation>
    <dataValidation type="list" allowBlank="1" showInputMessage="1" showErrorMessage="1" sqref="D3:D22">
      <formula1>$O$6:$O$7</formula1>
    </dataValidation>
    <dataValidation type="list" allowBlank="1" showInputMessage="1" showErrorMessage="1" sqref="E3:E22">
      <formula1>$M$6:$M$11</formula1>
    </dataValidation>
  </dataValidations>
  <pageMargins left="0.70866141732283472" right="0.70866141732283472" top="0.74803149606299213" bottom="0.74803149606299213" header="0.31496062992125984" footer="0.31496062992125984"/>
  <pageSetup paperSize="9" scale="66" fitToHeight="0"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sheetPr codeName="Sheet3">
    <tabColor rgb="FF00B050"/>
    <pageSetUpPr fitToPage="1"/>
  </sheetPr>
  <dimension ref="A1:O204"/>
  <sheetViews>
    <sheetView zoomScale="70" zoomScaleNormal="70" workbookViewId="0">
      <selection activeCell="B7" sqref="B7"/>
    </sheetView>
  </sheetViews>
  <sheetFormatPr defaultColWidth="0" defaultRowHeight="14.5" zeroHeight="1"/>
  <cols>
    <col min="1" max="1" width="8.7265625" style="15" customWidth="1"/>
    <col min="2" max="2" width="18.6328125" style="45" bestFit="1" customWidth="1"/>
    <col min="3" max="3" width="19.08984375" style="45" bestFit="1" customWidth="1"/>
    <col min="4" max="4" width="10" style="45" bestFit="1" customWidth="1"/>
    <col min="5" max="5" width="12.453125" style="45" bestFit="1" customWidth="1"/>
    <col min="6" max="6" width="18.453125" style="45" customWidth="1"/>
    <col min="7" max="7" width="18.90625" style="45" customWidth="1"/>
    <col min="8" max="8" width="23.81640625" style="45" customWidth="1"/>
    <col min="9" max="9" width="19.7265625" style="45" customWidth="1"/>
    <col min="10" max="10" width="21.36328125" style="45" bestFit="1" customWidth="1"/>
    <col min="11" max="11" width="17.6328125" style="45" bestFit="1" customWidth="1"/>
    <col min="12" max="12" width="11" style="15" customWidth="1"/>
    <col min="13" max="15" width="8.7265625" style="15" customWidth="1"/>
    <col min="16" max="16384" width="8.7265625" style="15" hidden="1"/>
  </cols>
  <sheetData>
    <row r="1" spans="1:15" customFormat="1" ht="171" customHeight="1">
      <c r="A1" s="62" t="s">
        <v>67</v>
      </c>
      <c r="B1" s="62"/>
      <c r="C1" s="6" t="s">
        <v>59</v>
      </c>
      <c r="D1" s="7" t="s">
        <v>60</v>
      </c>
      <c r="E1" s="7" t="s">
        <v>68</v>
      </c>
      <c r="F1" s="8" t="s">
        <v>61</v>
      </c>
      <c r="G1" s="8" t="s">
        <v>62</v>
      </c>
      <c r="H1" s="8" t="s">
        <v>63</v>
      </c>
      <c r="I1" s="8" t="s">
        <v>64</v>
      </c>
      <c r="J1" s="8" t="s">
        <v>65</v>
      </c>
      <c r="K1" s="8" t="s">
        <v>66</v>
      </c>
      <c r="L1" s="66" t="s">
        <v>11</v>
      </c>
      <c r="M1" s="67"/>
      <c r="N1" s="67"/>
      <c r="O1" s="67"/>
    </row>
    <row r="2" spans="1:15" customFormat="1" ht="18">
      <c r="A2" s="63" t="s">
        <v>10</v>
      </c>
      <c r="B2" s="31" t="s">
        <v>3</v>
      </c>
      <c r="C2" s="31" t="s">
        <v>4</v>
      </c>
      <c r="D2" s="31" t="s">
        <v>5</v>
      </c>
      <c r="E2" s="31" t="s">
        <v>6</v>
      </c>
      <c r="F2" s="31" t="s">
        <v>35</v>
      </c>
      <c r="G2" s="31" t="s">
        <v>7</v>
      </c>
      <c r="H2" s="31" t="s">
        <v>8</v>
      </c>
      <c r="I2" s="31" t="s">
        <v>9</v>
      </c>
      <c r="J2" s="31" t="s">
        <v>36</v>
      </c>
      <c r="K2" s="31" t="s">
        <v>37</v>
      </c>
    </row>
    <row r="3" spans="1:15" customFormat="1" ht="18">
      <c r="A3" s="64"/>
      <c r="B3" s="32">
        <v>44013</v>
      </c>
      <c r="C3" s="33"/>
      <c r="D3" s="33"/>
      <c r="E3" s="33"/>
      <c r="F3" s="33"/>
      <c r="G3" s="33"/>
      <c r="H3" s="33"/>
      <c r="I3" s="33"/>
      <c r="J3" s="33"/>
      <c r="K3" s="34"/>
    </row>
    <row r="4" spans="1:15" customFormat="1"/>
    <row r="5" spans="1:15" customFormat="1" ht="25.5">
      <c r="A5" s="65" t="s">
        <v>15</v>
      </c>
      <c r="B5" s="65"/>
      <c r="C5" s="65"/>
      <c r="D5" s="65"/>
      <c r="E5" s="65"/>
      <c r="F5" s="65"/>
      <c r="G5" s="65"/>
      <c r="H5" s="65"/>
      <c r="I5" s="65"/>
      <c r="J5" s="65"/>
    </row>
    <row r="6" spans="1:15" customFormat="1" ht="18">
      <c r="A6" s="35" t="s">
        <v>16</v>
      </c>
      <c r="B6" s="36" t="s">
        <v>3</v>
      </c>
      <c r="C6" s="36" t="s">
        <v>4</v>
      </c>
      <c r="D6" s="36" t="s">
        <v>5</v>
      </c>
      <c r="E6" s="36" t="s">
        <v>6</v>
      </c>
      <c r="F6" s="36" t="s">
        <v>35</v>
      </c>
      <c r="G6" s="36" t="s">
        <v>7</v>
      </c>
      <c r="H6" s="36" t="s">
        <v>8</v>
      </c>
      <c r="I6" s="36" t="s">
        <v>9</v>
      </c>
      <c r="J6" s="36" t="s">
        <v>36</v>
      </c>
      <c r="K6" s="36" t="s">
        <v>37</v>
      </c>
      <c r="L6" s="37" t="s">
        <v>3</v>
      </c>
      <c r="M6" s="38" t="s">
        <v>12</v>
      </c>
      <c r="N6" s="38" t="s">
        <v>13</v>
      </c>
      <c r="O6" s="38" t="s">
        <v>14</v>
      </c>
    </row>
    <row r="7" spans="1:15" customFormat="1" ht="25">
      <c r="A7" s="39">
        <v>1</v>
      </c>
      <c r="B7" s="18">
        <v>44013</v>
      </c>
      <c r="C7" s="19" t="s">
        <v>45</v>
      </c>
      <c r="D7" s="19">
        <v>12</v>
      </c>
      <c r="E7" s="19" t="s">
        <v>12</v>
      </c>
      <c r="F7" s="19" t="s">
        <v>51</v>
      </c>
      <c r="G7" s="19" t="s">
        <v>46</v>
      </c>
      <c r="H7" s="19" t="s">
        <v>47</v>
      </c>
      <c r="I7" s="19">
        <v>123456789</v>
      </c>
      <c r="J7" s="19" t="s">
        <v>48</v>
      </c>
      <c r="K7" s="20">
        <v>1212</v>
      </c>
      <c r="L7" s="40">
        <f>Table13[Date]</f>
        <v>44013</v>
      </c>
      <c r="M7" s="41">
        <f>COUNTIF(E7:E106,"Boy")</f>
        <v>1</v>
      </c>
      <c r="N7" s="41">
        <f>COUNTIF(E7:E106,"Girl")</f>
        <v>0</v>
      </c>
      <c r="O7" s="41">
        <f>SUM(M7:N7)</f>
        <v>1</v>
      </c>
    </row>
    <row r="8" spans="1:15" customFormat="1" ht="25">
      <c r="A8" s="9">
        <v>2</v>
      </c>
      <c r="B8" s="42"/>
      <c r="C8" s="43"/>
      <c r="D8" s="43"/>
      <c r="E8" s="43"/>
      <c r="F8" s="43"/>
      <c r="G8" s="43"/>
      <c r="H8" s="43"/>
      <c r="I8" s="43"/>
      <c r="J8" s="43"/>
      <c r="K8" s="44"/>
    </row>
    <row r="9" spans="1:15" customFormat="1" ht="25">
      <c r="A9" s="9">
        <v>3</v>
      </c>
      <c r="B9" s="42"/>
      <c r="C9" s="43"/>
      <c r="D9" s="43"/>
      <c r="E9" s="43"/>
      <c r="F9" s="43"/>
      <c r="G9" s="43"/>
      <c r="H9" s="43"/>
      <c r="I9" s="43"/>
      <c r="J9" s="43"/>
      <c r="K9" s="44"/>
    </row>
    <row r="10" spans="1:15" customFormat="1" ht="25">
      <c r="A10" s="9">
        <v>4</v>
      </c>
      <c r="B10" s="42"/>
      <c r="C10" s="43"/>
      <c r="D10" s="43"/>
      <c r="E10" s="43"/>
      <c r="F10" s="43"/>
      <c r="G10" s="43"/>
      <c r="H10" s="43"/>
      <c r="I10" s="43"/>
      <c r="J10" s="43"/>
      <c r="K10" s="44"/>
    </row>
    <row r="11" spans="1:15" customFormat="1" ht="25">
      <c r="A11" s="9">
        <v>5</v>
      </c>
      <c r="B11" s="42"/>
      <c r="C11" s="43"/>
      <c r="D11" s="43"/>
      <c r="E11" s="43"/>
      <c r="F11" s="43"/>
      <c r="G11" s="43"/>
      <c r="H11" s="43"/>
      <c r="I11" s="43"/>
      <c r="J11" s="43"/>
      <c r="K11" s="44"/>
    </row>
    <row r="12" spans="1:15" customFormat="1" ht="25">
      <c r="A12" s="9">
        <v>6</v>
      </c>
      <c r="B12" s="42"/>
      <c r="C12" s="43"/>
      <c r="D12" s="43"/>
      <c r="E12" s="43"/>
      <c r="F12" s="43"/>
      <c r="G12" s="43"/>
      <c r="H12" s="43"/>
      <c r="I12" s="43"/>
      <c r="J12" s="43"/>
      <c r="K12" s="44"/>
    </row>
    <row r="13" spans="1:15" customFormat="1" ht="25">
      <c r="A13" s="9">
        <v>7</v>
      </c>
      <c r="B13" s="42"/>
      <c r="C13" s="43"/>
      <c r="D13" s="43"/>
      <c r="E13" s="43"/>
      <c r="F13" s="43"/>
      <c r="G13" s="43"/>
      <c r="H13" s="43"/>
      <c r="I13" s="43"/>
      <c r="J13" s="43"/>
      <c r="K13" s="44"/>
    </row>
    <row r="14" spans="1:15" customFormat="1" ht="25">
      <c r="A14" s="9">
        <v>8</v>
      </c>
      <c r="B14" s="42"/>
      <c r="C14" s="43"/>
      <c r="D14" s="43"/>
      <c r="E14" s="43"/>
      <c r="F14" s="43"/>
      <c r="G14" s="43"/>
      <c r="H14" s="43"/>
      <c r="I14" s="43"/>
      <c r="J14" s="43"/>
      <c r="K14" s="44"/>
    </row>
    <row r="15" spans="1:15" customFormat="1" ht="25">
      <c r="A15" s="9">
        <v>9</v>
      </c>
      <c r="B15" s="42"/>
      <c r="C15" s="43"/>
      <c r="D15" s="43"/>
      <c r="E15" s="43"/>
      <c r="F15" s="43"/>
      <c r="G15" s="43"/>
      <c r="H15" s="43"/>
      <c r="I15" s="43"/>
      <c r="J15" s="43"/>
      <c r="K15" s="44"/>
    </row>
    <row r="16" spans="1:15" customFormat="1" ht="25">
      <c r="A16" s="9">
        <v>10</v>
      </c>
      <c r="B16" s="42"/>
      <c r="C16" s="43"/>
      <c r="D16" s="43"/>
      <c r="E16" s="43"/>
      <c r="F16" s="43"/>
      <c r="G16" s="43"/>
      <c r="H16" s="43"/>
      <c r="I16" s="43"/>
      <c r="J16" s="43"/>
      <c r="K16" s="44"/>
    </row>
    <row r="17" spans="1:11" customFormat="1" ht="25">
      <c r="A17" s="9">
        <v>11</v>
      </c>
      <c r="B17" s="42"/>
      <c r="C17" s="43"/>
      <c r="D17" s="43"/>
      <c r="E17" s="43"/>
      <c r="F17" s="43"/>
      <c r="G17" s="43"/>
      <c r="H17" s="43"/>
      <c r="I17" s="43"/>
      <c r="J17" s="43"/>
      <c r="K17" s="44"/>
    </row>
    <row r="18" spans="1:11" customFormat="1" ht="25">
      <c r="A18" s="9">
        <v>12</v>
      </c>
      <c r="B18" s="42"/>
      <c r="C18" s="43"/>
      <c r="D18" s="43"/>
      <c r="E18" s="43"/>
      <c r="F18" s="43"/>
      <c r="G18" s="43"/>
      <c r="H18" s="43"/>
      <c r="I18" s="43"/>
      <c r="J18" s="43"/>
      <c r="K18" s="44"/>
    </row>
    <row r="19" spans="1:11" customFormat="1" ht="25">
      <c r="A19" s="9">
        <v>13</v>
      </c>
      <c r="B19" s="42"/>
      <c r="C19" s="43"/>
      <c r="D19" s="43"/>
      <c r="E19" s="43"/>
      <c r="F19" s="43"/>
      <c r="G19" s="43"/>
      <c r="H19" s="43"/>
      <c r="I19" s="43"/>
      <c r="J19" s="43"/>
      <c r="K19" s="44"/>
    </row>
    <row r="20" spans="1:11" customFormat="1" ht="25">
      <c r="A20" s="9">
        <v>14</v>
      </c>
      <c r="B20" s="42"/>
      <c r="C20" s="43"/>
      <c r="D20" s="43"/>
      <c r="E20" s="43"/>
      <c r="F20" s="43"/>
      <c r="G20" s="43"/>
      <c r="H20" s="43"/>
      <c r="I20" s="43"/>
      <c r="J20" s="43"/>
      <c r="K20" s="44"/>
    </row>
    <row r="21" spans="1:11" customFormat="1" ht="25">
      <c r="A21" s="9">
        <v>15</v>
      </c>
      <c r="B21" s="42"/>
      <c r="C21" s="43"/>
      <c r="D21" s="43"/>
      <c r="E21" s="43"/>
      <c r="F21" s="43"/>
      <c r="G21" s="43"/>
      <c r="H21" s="43"/>
      <c r="I21" s="43"/>
      <c r="J21" s="43"/>
      <c r="K21" s="44"/>
    </row>
    <row r="22" spans="1:11" customFormat="1" ht="25">
      <c r="A22" s="9">
        <v>16</v>
      </c>
      <c r="B22" s="42"/>
      <c r="C22" s="43"/>
      <c r="D22" s="43"/>
      <c r="E22" s="43"/>
      <c r="F22" s="43"/>
      <c r="G22" s="43"/>
      <c r="H22" s="43"/>
      <c r="I22" s="43"/>
      <c r="J22" s="43"/>
      <c r="K22" s="44"/>
    </row>
    <row r="23" spans="1:11" customFormat="1" ht="25">
      <c r="A23" s="9">
        <v>17</v>
      </c>
      <c r="B23" s="42"/>
      <c r="C23" s="43"/>
      <c r="D23" s="43"/>
      <c r="E23" s="43"/>
      <c r="F23" s="43"/>
      <c r="G23" s="43"/>
      <c r="H23" s="43"/>
      <c r="I23" s="43"/>
      <c r="J23" s="43"/>
      <c r="K23" s="44"/>
    </row>
    <row r="24" spans="1:11" customFormat="1" ht="25">
      <c r="A24" s="9">
        <v>18</v>
      </c>
      <c r="B24" s="42"/>
      <c r="C24" s="43"/>
      <c r="D24" s="43"/>
      <c r="E24" s="43"/>
      <c r="F24" s="43"/>
      <c r="G24" s="43"/>
      <c r="H24" s="43"/>
      <c r="I24" s="43"/>
      <c r="J24" s="43"/>
      <c r="K24" s="44"/>
    </row>
    <row r="25" spans="1:11" customFormat="1" ht="25">
      <c r="A25" s="9">
        <v>19</v>
      </c>
      <c r="B25" s="42"/>
      <c r="C25" s="43"/>
      <c r="D25" s="43"/>
      <c r="E25" s="43"/>
      <c r="F25" s="43"/>
      <c r="G25" s="43"/>
      <c r="H25" s="43"/>
      <c r="I25" s="43"/>
      <c r="J25" s="43"/>
      <c r="K25" s="44"/>
    </row>
    <row r="26" spans="1:11" customFormat="1" ht="25">
      <c r="A26" s="9">
        <v>20</v>
      </c>
      <c r="B26" s="42"/>
      <c r="C26" s="43"/>
      <c r="D26" s="43"/>
      <c r="E26" s="43"/>
      <c r="F26" s="43"/>
      <c r="G26" s="43"/>
      <c r="H26" s="43"/>
      <c r="I26" s="43"/>
      <c r="J26" s="43"/>
      <c r="K26" s="44"/>
    </row>
    <row r="27" spans="1:11" customFormat="1" ht="25">
      <c r="A27" s="9">
        <v>21</v>
      </c>
      <c r="B27" s="42"/>
      <c r="C27" s="43"/>
      <c r="D27" s="43"/>
      <c r="E27" s="43"/>
      <c r="F27" s="43"/>
      <c r="G27" s="43"/>
      <c r="H27" s="43"/>
      <c r="I27" s="43"/>
      <c r="J27" s="43"/>
      <c r="K27" s="44"/>
    </row>
    <row r="28" spans="1:11" customFormat="1" ht="25">
      <c r="A28" s="9">
        <v>22</v>
      </c>
      <c r="B28" s="42"/>
      <c r="C28" s="43"/>
      <c r="D28" s="43"/>
      <c r="E28" s="43"/>
      <c r="F28" s="43"/>
      <c r="G28" s="43"/>
      <c r="H28" s="43"/>
      <c r="I28" s="43"/>
      <c r="J28" s="43"/>
      <c r="K28" s="44"/>
    </row>
    <row r="29" spans="1:11" customFormat="1" ht="25">
      <c r="A29" s="9">
        <v>23</v>
      </c>
      <c r="B29" s="42"/>
      <c r="C29" s="43"/>
      <c r="D29" s="43"/>
      <c r="E29" s="43"/>
      <c r="F29" s="43"/>
      <c r="G29" s="43"/>
      <c r="H29" s="43"/>
      <c r="I29" s="43"/>
      <c r="J29" s="43"/>
      <c r="K29" s="44"/>
    </row>
    <row r="30" spans="1:11" customFormat="1" ht="25">
      <c r="A30" s="9">
        <v>24</v>
      </c>
      <c r="B30" s="42"/>
      <c r="C30" s="43"/>
      <c r="D30" s="43"/>
      <c r="E30" s="43"/>
      <c r="F30" s="43"/>
      <c r="G30" s="43"/>
      <c r="H30" s="43"/>
      <c r="I30" s="43"/>
      <c r="J30" s="43"/>
      <c r="K30" s="44"/>
    </row>
    <row r="31" spans="1:11" customFormat="1" ht="25">
      <c r="A31" s="9">
        <v>25</v>
      </c>
      <c r="B31" s="42"/>
      <c r="C31" s="43"/>
      <c r="D31" s="43"/>
      <c r="E31" s="43"/>
      <c r="F31" s="43"/>
      <c r="G31" s="43"/>
      <c r="H31" s="43"/>
      <c r="I31" s="43"/>
      <c r="J31" s="43"/>
      <c r="K31" s="44"/>
    </row>
    <row r="32" spans="1:11" customFormat="1" ht="25">
      <c r="A32" s="9">
        <v>26</v>
      </c>
      <c r="B32" s="42"/>
      <c r="C32" s="43"/>
      <c r="D32" s="43"/>
      <c r="E32" s="43"/>
      <c r="F32" s="43"/>
      <c r="G32" s="43"/>
      <c r="H32" s="43"/>
      <c r="I32" s="43"/>
      <c r="J32" s="43"/>
      <c r="K32" s="44"/>
    </row>
    <row r="33" spans="1:11" customFormat="1" ht="25">
      <c r="A33" s="9">
        <v>27</v>
      </c>
      <c r="B33" s="42"/>
      <c r="C33" s="43"/>
      <c r="D33" s="43"/>
      <c r="E33" s="43"/>
      <c r="F33" s="43"/>
      <c r="G33" s="43"/>
      <c r="H33" s="43"/>
      <c r="I33" s="43"/>
      <c r="J33" s="43"/>
      <c r="K33" s="44"/>
    </row>
    <row r="34" spans="1:11" customFormat="1" ht="25">
      <c r="A34" s="9">
        <v>28</v>
      </c>
      <c r="B34" s="42"/>
      <c r="C34" s="43"/>
      <c r="D34" s="43"/>
      <c r="E34" s="43"/>
      <c r="F34" s="43"/>
      <c r="G34" s="43"/>
      <c r="H34" s="43"/>
      <c r="I34" s="43"/>
      <c r="J34" s="43"/>
      <c r="K34" s="44"/>
    </row>
    <row r="35" spans="1:11" customFormat="1" ht="25">
      <c r="A35" s="9">
        <v>29</v>
      </c>
      <c r="B35" s="42"/>
      <c r="C35" s="43"/>
      <c r="D35" s="43"/>
      <c r="E35" s="43"/>
      <c r="F35" s="43"/>
      <c r="G35" s="43"/>
      <c r="H35" s="43"/>
      <c r="I35" s="43"/>
      <c r="J35" s="43"/>
      <c r="K35" s="44"/>
    </row>
    <row r="36" spans="1:11" customFormat="1" ht="25">
      <c r="A36" s="9">
        <v>30</v>
      </c>
      <c r="B36" s="42"/>
      <c r="C36" s="43"/>
      <c r="D36" s="43"/>
      <c r="E36" s="43"/>
      <c r="F36" s="43"/>
      <c r="G36" s="43"/>
      <c r="H36" s="43"/>
      <c r="I36" s="43"/>
      <c r="J36" s="43"/>
      <c r="K36" s="44"/>
    </row>
    <row r="37" spans="1:11" customFormat="1" ht="25">
      <c r="A37" s="9">
        <v>31</v>
      </c>
      <c r="B37" s="42"/>
      <c r="C37" s="43"/>
      <c r="D37" s="43"/>
      <c r="E37" s="43"/>
      <c r="F37" s="43"/>
      <c r="G37" s="43"/>
      <c r="H37" s="43"/>
      <c r="I37" s="43"/>
      <c r="J37" s="43"/>
      <c r="K37" s="44"/>
    </row>
    <row r="38" spans="1:11" customFormat="1" ht="25">
      <c r="A38" s="9">
        <v>32</v>
      </c>
      <c r="B38" s="42"/>
      <c r="C38" s="43"/>
      <c r="D38" s="43"/>
      <c r="E38" s="43"/>
      <c r="F38" s="43"/>
      <c r="G38" s="43"/>
      <c r="H38" s="43"/>
      <c r="I38" s="43"/>
      <c r="J38" s="43"/>
      <c r="K38" s="44"/>
    </row>
    <row r="39" spans="1:11" customFormat="1" ht="25">
      <c r="A39" s="9">
        <v>33</v>
      </c>
      <c r="B39" s="42"/>
      <c r="C39" s="43"/>
      <c r="D39" s="43"/>
      <c r="E39" s="43"/>
      <c r="F39" s="43"/>
      <c r="G39" s="43"/>
      <c r="H39" s="43"/>
      <c r="I39" s="43"/>
      <c r="J39" s="43"/>
      <c r="K39" s="44"/>
    </row>
    <row r="40" spans="1:11" customFormat="1" ht="25">
      <c r="A40" s="9">
        <v>34</v>
      </c>
      <c r="B40" s="42"/>
      <c r="C40" s="43"/>
      <c r="D40" s="43"/>
      <c r="E40" s="43"/>
      <c r="F40" s="43"/>
      <c r="G40" s="43"/>
      <c r="H40" s="43"/>
      <c r="I40" s="43"/>
      <c r="J40" s="43"/>
      <c r="K40" s="44"/>
    </row>
    <row r="41" spans="1:11" customFormat="1" ht="25">
      <c r="A41" s="9">
        <v>35</v>
      </c>
      <c r="B41" s="42"/>
      <c r="C41" s="43"/>
      <c r="D41" s="43"/>
      <c r="E41" s="43"/>
      <c r="F41" s="43"/>
      <c r="G41" s="43"/>
      <c r="H41" s="43"/>
      <c r="I41" s="43"/>
      <c r="J41" s="43"/>
      <c r="K41" s="44"/>
    </row>
    <row r="42" spans="1:11" customFormat="1" ht="25">
      <c r="A42" s="9">
        <v>36</v>
      </c>
      <c r="B42" s="42"/>
      <c r="C42" s="43"/>
      <c r="D42" s="43"/>
      <c r="E42" s="43"/>
      <c r="F42" s="43"/>
      <c r="G42" s="43"/>
      <c r="H42" s="43"/>
      <c r="I42" s="43"/>
      <c r="J42" s="43"/>
      <c r="K42" s="44"/>
    </row>
    <row r="43" spans="1:11" customFormat="1" ht="25">
      <c r="A43" s="9">
        <v>37</v>
      </c>
      <c r="B43" s="42"/>
      <c r="C43" s="43"/>
      <c r="D43" s="43"/>
      <c r="E43" s="43"/>
      <c r="F43" s="43"/>
      <c r="G43" s="43"/>
      <c r="H43" s="43"/>
      <c r="I43" s="43"/>
      <c r="J43" s="43"/>
      <c r="K43" s="44"/>
    </row>
    <row r="44" spans="1:11" customFormat="1" ht="25">
      <c r="A44" s="9">
        <v>38</v>
      </c>
      <c r="B44" s="42"/>
      <c r="C44" s="43"/>
      <c r="D44" s="43"/>
      <c r="E44" s="43"/>
      <c r="F44" s="43"/>
      <c r="G44" s="43"/>
      <c r="H44" s="43"/>
      <c r="I44" s="43"/>
      <c r="J44" s="43"/>
      <c r="K44" s="44"/>
    </row>
    <row r="45" spans="1:11" customFormat="1" ht="25">
      <c r="A45" s="9">
        <v>39</v>
      </c>
      <c r="B45" s="42"/>
      <c r="C45" s="43"/>
      <c r="D45" s="43"/>
      <c r="E45" s="43"/>
      <c r="F45" s="43"/>
      <c r="G45" s="43"/>
      <c r="H45" s="43"/>
      <c r="I45" s="43"/>
      <c r="J45" s="43"/>
      <c r="K45" s="44"/>
    </row>
    <row r="46" spans="1:11" customFormat="1" ht="25">
      <c r="A46" s="9">
        <v>40</v>
      </c>
      <c r="B46" s="42"/>
      <c r="C46" s="43"/>
      <c r="D46" s="43"/>
      <c r="E46" s="43"/>
      <c r="F46" s="43"/>
      <c r="G46" s="43"/>
      <c r="H46" s="43"/>
      <c r="I46" s="43"/>
      <c r="J46" s="43"/>
      <c r="K46" s="44"/>
    </row>
    <row r="47" spans="1:11" customFormat="1" ht="25">
      <c r="A47" s="9">
        <v>41</v>
      </c>
      <c r="B47" s="42"/>
      <c r="C47" s="43"/>
      <c r="D47" s="43"/>
      <c r="E47" s="43"/>
      <c r="F47" s="43"/>
      <c r="G47" s="43"/>
      <c r="H47" s="43"/>
      <c r="I47" s="43"/>
      <c r="J47" s="43"/>
      <c r="K47" s="44"/>
    </row>
    <row r="48" spans="1:11" customFormat="1" ht="25">
      <c r="A48" s="9">
        <v>42</v>
      </c>
      <c r="B48" s="42"/>
      <c r="C48" s="43"/>
      <c r="D48" s="43"/>
      <c r="E48" s="43"/>
      <c r="F48" s="43"/>
      <c r="G48" s="43"/>
      <c r="H48" s="43"/>
      <c r="I48" s="43"/>
      <c r="J48" s="43"/>
      <c r="K48" s="44"/>
    </row>
    <row r="49" spans="1:11" customFormat="1" ht="25">
      <c r="A49" s="9">
        <v>43</v>
      </c>
      <c r="B49" s="42"/>
      <c r="C49" s="43"/>
      <c r="D49" s="43"/>
      <c r="E49" s="43"/>
      <c r="F49" s="43"/>
      <c r="G49" s="43"/>
      <c r="H49" s="43"/>
      <c r="I49" s="43"/>
      <c r="J49" s="43"/>
      <c r="K49" s="44"/>
    </row>
    <row r="50" spans="1:11" customFormat="1" ht="25">
      <c r="A50" s="9">
        <v>44</v>
      </c>
      <c r="B50" s="42"/>
      <c r="C50" s="43"/>
      <c r="D50" s="43"/>
      <c r="E50" s="43"/>
      <c r="F50" s="43"/>
      <c r="G50" s="43"/>
      <c r="H50" s="43"/>
      <c r="I50" s="43"/>
      <c r="J50" s="43"/>
      <c r="K50" s="44"/>
    </row>
    <row r="51" spans="1:11" customFormat="1" ht="25">
      <c r="A51" s="9">
        <v>45</v>
      </c>
      <c r="B51" s="42"/>
      <c r="C51" s="43"/>
      <c r="D51" s="43"/>
      <c r="E51" s="43"/>
      <c r="F51" s="43"/>
      <c r="G51" s="43"/>
      <c r="H51" s="43"/>
      <c r="I51" s="43"/>
      <c r="J51" s="43"/>
      <c r="K51" s="44"/>
    </row>
    <row r="52" spans="1:11" customFormat="1" ht="25">
      <c r="A52" s="9">
        <v>46</v>
      </c>
      <c r="B52" s="42"/>
      <c r="C52" s="43"/>
      <c r="D52" s="43"/>
      <c r="E52" s="43"/>
      <c r="F52" s="43"/>
      <c r="G52" s="43"/>
      <c r="H52" s="43"/>
      <c r="I52" s="43"/>
      <c r="J52" s="43"/>
      <c r="K52" s="44"/>
    </row>
    <row r="53" spans="1:11" customFormat="1" ht="25">
      <c r="A53" s="9">
        <v>47</v>
      </c>
      <c r="B53" s="42"/>
      <c r="C53" s="43"/>
      <c r="D53" s="43"/>
      <c r="E53" s="43"/>
      <c r="F53" s="43"/>
      <c r="G53" s="43"/>
      <c r="H53" s="43"/>
      <c r="I53" s="43"/>
      <c r="J53" s="43"/>
      <c r="K53" s="44"/>
    </row>
    <row r="54" spans="1:11" customFormat="1" ht="25">
      <c r="A54" s="9">
        <v>48</v>
      </c>
      <c r="B54" s="42"/>
      <c r="C54" s="43"/>
      <c r="D54" s="43"/>
      <c r="E54" s="43"/>
      <c r="F54" s="43"/>
      <c r="G54" s="43"/>
      <c r="H54" s="43"/>
      <c r="I54" s="43"/>
      <c r="J54" s="43"/>
      <c r="K54" s="44"/>
    </row>
    <row r="55" spans="1:11" customFormat="1" ht="25">
      <c r="A55" s="9">
        <v>49</v>
      </c>
      <c r="B55" s="42"/>
      <c r="C55" s="43"/>
      <c r="D55" s="43"/>
      <c r="E55" s="43"/>
      <c r="F55" s="43"/>
      <c r="G55" s="43"/>
      <c r="H55" s="43"/>
      <c r="I55" s="43"/>
      <c r="J55" s="43"/>
      <c r="K55" s="44"/>
    </row>
    <row r="56" spans="1:11" customFormat="1" ht="25">
      <c r="A56" s="9">
        <v>50</v>
      </c>
      <c r="B56" s="42"/>
      <c r="C56" s="43"/>
      <c r="D56" s="43"/>
      <c r="E56" s="43"/>
      <c r="F56" s="43"/>
      <c r="G56" s="43"/>
      <c r="H56" s="43"/>
      <c r="I56" s="43"/>
      <c r="J56" s="43"/>
      <c r="K56" s="44"/>
    </row>
    <row r="57" spans="1:11" customFormat="1" ht="25">
      <c r="A57" s="9">
        <v>51</v>
      </c>
      <c r="B57" s="42"/>
      <c r="C57" s="43"/>
      <c r="D57" s="43"/>
      <c r="E57" s="43"/>
      <c r="F57" s="43"/>
      <c r="G57" s="43"/>
      <c r="H57" s="43"/>
      <c r="I57" s="43"/>
      <c r="J57" s="43"/>
      <c r="K57" s="44"/>
    </row>
    <row r="58" spans="1:11" customFormat="1" ht="25">
      <c r="A58" s="9">
        <v>52</v>
      </c>
      <c r="B58" s="42"/>
      <c r="C58" s="43"/>
      <c r="D58" s="43"/>
      <c r="E58" s="43"/>
      <c r="F58" s="43"/>
      <c r="G58" s="43"/>
      <c r="H58" s="43"/>
      <c r="I58" s="43"/>
      <c r="J58" s="43"/>
      <c r="K58" s="44"/>
    </row>
    <row r="59" spans="1:11" customFormat="1" ht="25">
      <c r="A59" s="9">
        <v>53</v>
      </c>
      <c r="B59" s="42"/>
      <c r="C59" s="43"/>
      <c r="D59" s="43"/>
      <c r="E59" s="43"/>
      <c r="F59" s="43"/>
      <c r="G59" s="43"/>
      <c r="H59" s="43"/>
      <c r="I59" s="43"/>
      <c r="J59" s="43"/>
      <c r="K59" s="44"/>
    </row>
    <row r="60" spans="1:11" customFormat="1" ht="25">
      <c r="A60" s="9">
        <v>54</v>
      </c>
      <c r="B60" s="42"/>
      <c r="C60" s="43"/>
      <c r="D60" s="43"/>
      <c r="E60" s="43"/>
      <c r="F60" s="43"/>
      <c r="G60" s="43"/>
      <c r="H60" s="43"/>
      <c r="I60" s="43"/>
      <c r="J60" s="43"/>
      <c r="K60" s="44"/>
    </row>
    <row r="61" spans="1:11" customFormat="1" ht="25">
      <c r="A61" s="9">
        <v>55</v>
      </c>
      <c r="B61" s="42"/>
      <c r="C61" s="43"/>
      <c r="D61" s="43"/>
      <c r="E61" s="43"/>
      <c r="F61" s="43"/>
      <c r="G61" s="43"/>
      <c r="H61" s="43"/>
      <c r="I61" s="43"/>
      <c r="J61" s="43"/>
      <c r="K61" s="44"/>
    </row>
    <row r="62" spans="1:11" customFormat="1" ht="25">
      <c r="A62" s="9">
        <v>56</v>
      </c>
      <c r="B62" s="42"/>
      <c r="C62" s="43"/>
      <c r="D62" s="43"/>
      <c r="E62" s="43"/>
      <c r="F62" s="43"/>
      <c r="G62" s="43"/>
      <c r="H62" s="43"/>
      <c r="I62" s="43"/>
      <c r="J62" s="43"/>
      <c r="K62" s="44"/>
    </row>
    <row r="63" spans="1:11" customFormat="1" ht="25">
      <c r="A63" s="9">
        <v>57</v>
      </c>
      <c r="B63" s="42"/>
      <c r="C63" s="43"/>
      <c r="D63" s="43"/>
      <c r="E63" s="43"/>
      <c r="F63" s="43"/>
      <c r="G63" s="43"/>
      <c r="H63" s="43"/>
      <c r="I63" s="43"/>
      <c r="J63" s="43"/>
      <c r="K63" s="44"/>
    </row>
    <row r="64" spans="1:11" customFormat="1" ht="25">
      <c r="A64" s="9">
        <v>58</v>
      </c>
      <c r="B64" s="42"/>
      <c r="C64" s="43"/>
      <c r="D64" s="43"/>
      <c r="E64" s="43"/>
      <c r="F64" s="43"/>
      <c r="G64" s="43"/>
      <c r="H64" s="43"/>
      <c r="I64" s="43"/>
      <c r="J64" s="43"/>
      <c r="K64" s="44"/>
    </row>
    <row r="65" spans="1:11" customFormat="1" ht="25">
      <c r="A65" s="9">
        <v>59</v>
      </c>
      <c r="B65" s="42"/>
      <c r="C65" s="43"/>
      <c r="D65" s="43"/>
      <c r="E65" s="43"/>
      <c r="F65" s="43"/>
      <c r="G65" s="43"/>
      <c r="H65" s="43"/>
      <c r="I65" s="43"/>
      <c r="J65" s="43"/>
      <c r="K65" s="44"/>
    </row>
    <row r="66" spans="1:11" customFormat="1" ht="25">
      <c r="A66" s="9">
        <v>60</v>
      </c>
      <c r="B66" s="42"/>
      <c r="C66" s="43"/>
      <c r="D66" s="43"/>
      <c r="E66" s="43"/>
      <c r="F66" s="43"/>
      <c r="G66" s="43"/>
      <c r="H66" s="43"/>
      <c r="I66" s="43"/>
      <c r="J66" s="43"/>
      <c r="K66" s="44"/>
    </row>
    <row r="67" spans="1:11" customFormat="1" ht="25">
      <c r="A67" s="9">
        <v>61</v>
      </c>
      <c r="B67" s="42"/>
      <c r="C67" s="43"/>
      <c r="D67" s="43"/>
      <c r="E67" s="43"/>
      <c r="F67" s="43"/>
      <c r="G67" s="43"/>
      <c r="H67" s="43"/>
      <c r="I67" s="43"/>
      <c r="J67" s="43"/>
      <c r="K67" s="44"/>
    </row>
    <row r="68" spans="1:11" customFormat="1" ht="25">
      <c r="A68" s="9">
        <v>62</v>
      </c>
      <c r="B68" s="42"/>
      <c r="C68" s="43"/>
      <c r="D68" s="43"/>
      <c r="E68" s="43"/>
      <c r="F68" s="43"/>
      <c r="G68" s="43"/>
      <c r="H68" s="43"/>
      <c r="I68" s="43"/>
      <c r="J68" s="43"/>
      <c r="K68" s="44"/>
    </row>
    <row r="69" spans="1:11" customFormat="1" ht="25">
      <c r="A69" s="9">
        <v>63</v>
      </c>
      <c r="B69" s="42"/>
      <c r="C69" s="43"/>
      <c r="D69" s="43"/>
      <c r="E69" s="43"/>
      <c r="F69" s="43"/>
      <c r="G69" s="43"/>
      <c r="H69" s="43"/>
      <c r="I69" s="43"/>
      <c r="J69" s="43"/>
      <c r="K69" s="44"/>
    </row>
    <row r="70" spans="1:11" customFormat="1" ht="25">
      <c r="A70" s="9">
        <v>64</v>
      </c>
      <c r="B70" s="42"/>
      <c r="C70" s="43"/>
      <c r="D70" s="43"/>
      <c r="E70" s="43"/>
      <c r="F70" s="43"/>
      <c r="G70" s="43"/>
      <c r="H70" s="43"/>
      <c r="I70" s="43"/>
      <c r="J70" s="43"/>
      <c r="K70" s="44"/>
    </row>
    <row r="71" spans="1:11" customFormat="1" ht="25">
      <c r="A71" s="9">
        <v>65</v>
      </c>
      <c r="B71" s="42"/>
      <c r="C71" s="43"/>
      <c r="D71" s="43"/>
      <c r="E71" s="43"/>
      <c r="F71" s="43"/>
      <c r="G71" s="43"/>
      <c r="H71" s="43"/>
      <c r="I71" s="43"/>
      <c r="J71" s="43"/>
      <c r="K71" s="44"/>
    </row>
    <row r="72" spans="1:11" customFormat="1" ht="25">
      <c r="A72" s="9">
        <v>66</v>
      </c>
      <c r="B72" s="42"/>
      <c r="C72" s="43"/>
      <c r="D72" s="43"/>
      <c r="E72" s="43"/>
      <c r="F72" s="43"/>
      <c r="G72" s="43"/>
      <c r="H72" s="43"/>
      <c r="I72" s="43"/>
      <c r="J72" s="43"/>
      <c r="K72" s="44"/>
    </row>
    <row r="73" spans="1:11" customFormat="1" ht="25">
      <c r="A73" s="9">
        <v>67</v>
      </c>
      <c r="B73" s="42"/>
      <c r="C73" s="43"/>
      <c r="D73" s="43"/>
      <c r="E73" s="43"/>
      <c r="F73" s="43"/>
      <c r="G73" s="43"/>
      <c r="H73" s="43"/>
      <c r="I73" s="43"/>
      <c r="J73" s="43"/>
      <c r="K73" s="44"/>
    </row>
    <row r="74" spans="1:11" customFormat="1" ht="25">
      <c r="A74" s="9">
        <v>68</v>
      </c>
      <c r="B74" s="42"/>
      <c r="C74" s="43"/>
      <c r="D74" s="43"/>
      <c r="E74" s="43"/>
      <c r="F74" s="43"/>
      <c r="G74" s="43"/>
      <c r="H74" s="43"/>
      <c r="I74" s="43"/>
      <c r="J74" s="43"/>
      <c r="K74" s="44"/>
    </row>
    <row r="75" spans="1:11" customFormat="1" ht="25">
      <c r="A75" s="9">
        <v>69</v>
      </c>
      <c r="B75" s="42"/>
      <c r="C75" s="43"/>
      <c r="D75" s="43"/>
      <c r="E75" s="43"/>
      <c r="F75" s="43"/>
      <c r="G75" s="43"/>
      <c r="H75" s="43"/>
      <c r="I75" s="43"/>
      <c r="J75" s="43"/>
      <c r="K75" s="44"/>
    </row>
    <row r="76" spans="1:11" customFormat="1" ht="25">
      <c r="A76" s="9">
        <v>70</v>
      </c>
      <c r="B76" s="42"/>
      <c r="C76" s="43"/>
      <c r="D76" s="43"/>
      <c r="E76" s="43"/>
      <c r="F76" s="43"/>
      <c r="G76" s="43"/>
      <c r="H76" s="43"/>
      <c r="I76" s="43"/>
      <c r="J76" s="43"/>
      <c r="K76" s="44"/>
    </row>
    <row r="77" spans="1:11" customFormat="1" ht="25">
      <c r="A77" s="9">
        <v>71</v>
      </c>
      <c r="B77" s="42"/>
      <c r="C77" s="43"/>
      <c r="D77" s="43"/>
      <c r="E77" s="43"/>
      <c r="F77" s="43"/>
      <c r="G77" s="43"/>
      <c r="H77" s="43"/>
      <c r="I77" s="43"/>
      <c r="J77" s="43"/>
      <c r="K77" s="44"/>
    </row>
    <row r="78" spans="1:11" customFormat="1" ht="25">
      <c r="A78" s="9">
        <v>72</v>
      </c>
      <c r="B78" s="42"/>
      <c r="C78" s="43"/>
      <c r="D78" s="43"/>
      <c r="E78" s="43"/>
      <c r="F78" s="43"/>
      <c r="G78" s="43"/>
      <c r="H78" s="43"/>
      <c r="I78" s="43"/>
      <c r="J78" s="43"/>
      <c r="K78" s="44"/>
    </row>
    <row r="79" spans="1:11" customFormat="1" ht="25">
      <c r="A79" s="9">
        <v>73</v>
      </c>
      <c r="B79" s="42"/>
      <c r="C79" s="43"/>
      <c r="D79" s="43"/>
      <c r="E79" s="43"/>
      <c r="F79" s="43"/>
      <c r="G79" s="43"/>
      <c r="H79" s="43"/>
      <c r="I79" s="43"/>
      <c r="J79" s="43"/>
      <c r="K79" s="44"/>
    </row>
    <row r="80" spans="1:11" customFormat="1" ht="25">
      <c r="A80" s="9">
        <v>74</v>
      </c>
      <c r="B80" s="42"/>
      <c r="C80" s="43"/>
      <c r="D80" s="43"/>
      <c r="E80" s="43"/>
      <c r="F80" s="43"/>
      <c r="G80" s="43"/>
      <c r="H80" s="43"/>
      <c r="I80" s="43"/>
      <c r="J80" s="43"/>
      <c r="K80" s="44"/>
    </row>
    <row r="81" spans="1:11" customFormat="1" ht="25">
      <c r="A81" s="9">
        <v>75</v>
      </c>
      <c r="B81" s="42"/>
      <c r="C81" s="43"/>
      <c r="D81" s="43"/>
      <c r="E81" s="43"/>
      <c r="F81" s="43"/>
      <c r="G81" s="43"/>
      <c r="H81" s="43"/>
      <c r="I81" s="43"/>
      <c r="J81" s="43"/>
      <c r="K81" s="44"/>
    </row>
    <row r="82" spans="1:11" customFormat="1" ht="25">
      <c r="A82" s="9">
        <v>76</v>
      </c>
      <c r="B82" s="42"/>
      <c r="C82" s="43"/>
      <c r="D82" s="43"/>
      <c r="E82" s="43"/>
      <c r="F82" s="43"/>
      <c r="G82" s="43"/>
      <c r="H82" s="43"/>
      <c r="I82" s="43"/>
      <c r="J82" s="43"/>
      <c r="K82" s="44"/>
    </row>
    <row r="83" spans="1:11" customFormat="1" ht="25">
      <c r="A83" s="9">
        <v>77</v>
      </c>
      <c r="B83" s="42"/>
      <c r="C83" s="43"/>
      <c r="D83" s="43"/>
      <c r="E83" s="43"/>
      <c r="F83" s="43"/>
      <c r="G83" s="43"/>
      <c r="H83" s="43"/>
      <c r="I83" s="43"/>
      <c r="J83" s="43"/>
      <c r="K83" s="44"/>
    </row>
    <row r="84" spans="1:11" customFormat="1" ht="25">
      <c r="A84" s="9">
        <v>78</v>
      </c>
      <c r="B84" s="42"/>
      <c r="C84" s="43"/>
      <c r="D84" s="43"/>
      <c r="E84" s="43"/>
      <c r="F84" s="43"/>
      <c r="G84" s="43"/>
      <c r="H84" s="43"/>
      <c r="I84" s="43"/>
      <c r="J84" s="43"/>
      <c r="K84" s="44"/>
    </row>
    <row r="85" spans="1:11" customFormat="1" ht="25">
      <c r="A85" s="9">
        <v>79</v>
      </c>
      <c r="B85" s="42"/>
      <c r="C85" s="43"/>
      <c r="D85" s="43"/>
      <c r="E85" s="43"/>
      <c r="F85" s="43"/>
      <c r="G85" s="43"/>
      <c r="H85" s="43"/>
      <c r="I85" s="43"/>
      <c r="J85" s="43"/>
      <c r="K85" s="44"/>
    </row>
    <row r="86" spans="1:11" customFormat="1" ht="25">
      <c r="A86" s="9">
        <v>80</v>
      </c>
      <c r="B86" s="42"/>
      <c r="C86" s="43"/>
      <c r="D86" s="43"/>
      <c r="E86" s="43"/>
      <c r="F86" s="43"/>
      <c r="G86" s="43"/>
      <c r="H86" s="43"/>
      <c r="I86" s="43"/>
      <c r="J86" s="43"/>
      <c r="K86" s="44"/>
    </row>
    <row r="87" spans="1:11" customFormat="1" ht="25">
      <c r="A87" s="9">
        <v>81</v>
      </c>
      <c r="B87" s="42"/>
      <c r="C87" s="43"/>
      <c r="D87" s="43"/>
      <c r="E87" s="43"/>
      <c r="F87" s="43"/>
      <c r="G87" s="43"/>
      <c r="H87" s="43"/>
      <c r="I87" s="43"/>
      <c r="J87" s="43"/>
      <c r="K87" s="44"/>
    </row>
    <row r="88" spans="1:11" customFormat="1" ht="25">
      <c r="A88" s="9">
        <v>82</v>
      </c>
      <c r="B88" s="42"/>
      <c r="C88" s="43"/>
      <c r="D88" s="43"/>
      <c r="E88" s="43"/>
      <c r="F88" s="43"/>
      <c r="G88" s="43"/>
      <c r="H88" s="43"/>
      <c r="I88" s="43"/>
      <c r="J88" s="43"/>
      <c r="K88" s="44"/>
    </row>
    <row r="89" spans="1:11" customFormat="1" ht="25">
      <c r="A89" s="9">
        <v>83</v>
      </c>
      <c r="B89" s="42"/>
      <c r="C89" s="43"/>
      <c r="D89" s="43"/>
      <c r="E89" s="43"/>
      <c r="F89" s="43"/>
      <c r="G89" s="43"/>
      <c r="H89" s="43"/>
      <c r="I89" s="43"/>
      <c r="J89" s="43"/>
      <c r="K89" s="44"/>
    </row>
    <row r="90" spans="1:11" customFormat="1" ht="25">
      <c r="A90" s="9">
        <v>84</v>
      </c>
      <c r="B90" s="42"/>
      <c r="C90" s="43"/>
      <c r="D90" s="43"/>
      <c r="E90" s="43"/>
      <c r="F90" s="43"/>
      <c r="G90" s="43"/>
      <c r="H90" s="43"/>
      <c r="I90" s="43"/>
      <c r="J90" s="43"/>
      <c r="K90" s="44"/>
    </row>
    <row r="91" spans="1:11" customFormat="1" ht="25">
      <c r="A91" s="9">
        <v>85</v>
      </c>
      <c r="B91" s="42"/>
      <c r="C91" s="43"/>
      <c r="D91" s="43"/>
      <c r="E91" s="43"/>
      <c r="F91" s="43"/>
      <c r="G91" s="43"/>
      <c r="H91" s="43"/>
      <c r="I91" s="43"/>
      <c r="J91" s="43"/>
      <c r="K91" s="44"/>
    </row>
    <row r="92" spans="1:11" customFormat="1" ht="25">
      <c r="A92" s="9">
        <v>86</v>
      </c>
      <c r="B92" s="42"/>
      <c r="C92" s="43"/>
      <c r="D92" s="43"/>
      <c r="E92" s="43"/>
      <c r="F92" s="43"/>
      <c r="G92" s="43"/>
      <c r="H92" s="43"/>
      <c r="I92" s="43"/>
      <c r="J92" s="43"/>
      <c r="K92" s="44"/>
    </row>
    <row r="93" spans="1:11" customFormat="1" ht="25">
      <c r="A93" s="9">
        <v>87</v>
      </c>
      <c r="B93" s="42"/>
      <c r="C93" s="43"/>
      <c r="D93" s="43"/>
      <c r="E93" s="43"/>
      <c r="F93" s="43"/>
      <c r="G93" s="43"/>
      <c r="H93" s="43"/>
      <c r="I93" s="43"/>
      <c r="J93" s="43"/>
      <c r="K93" s="44"/>
    </row>
    <row r="94" spans="1:11" customFormat="1" ht="25">
      <c r="A94" s="9">
        <v>88</v>
      </c>
      <c r="B94" s="42"/>
      <c r="C94" s="43"/>
      <c r="D94" s="43"/>
      <c r="E94" s="43"/>
      <c r="F94" s="43"/>
      <c r="G94" s="43"/>
      <c r="H94" s="43"/>
      <c r="I94" s="43"/>
      <c r="J94" s="43"/>
      <c r="K94" s="44"/>
    </row>
    <row r="95" spans="1:11" customFormat="1" ht="25">
      <c r="A95" s="9">
        <v>89</v>
      </c>
      <c r="B95" s="42"/>
      <c r="C95" s="43"/>
      <c r="D95" s="43"/>
      <c r="E95" s="43"/>
      <c r="F95" s="43"/>
      <c r="G95" s="43"/>
      <c r="H95" s="43"/>
      <c r="I95" s="43"/>
      <c r="J95" s="43"/>
      <c r="K95" s="44"/>
    </row>
    <row r="96" spans="1:11" customFormat="1" ht="25">
      <c r="A96" s="9">
        <v>90</v>
      </c>
      <c r="B96" s="42"/>
      <c r="C96" s="43"/>
      <c r="D96" s="43"/>
      <c r="E96" s="43"/>
      <c r="F96" s="43"/>
      <c r="G96" s="43"/>
      <c r="H96" s="43"/>
      <c r="I96" s="43"/>
      <c r="J96" s="43"/>
      <c r="K96" s="44"/>
    </row>
    <row r="97" spans="1:11" customFormat="1" ht="25">
      <c r="A97" s="9">
        <v>91</v>
      </c>
      <c r="B97" s="42"/>
      <c r="C97" s="43"/>
      <c r="D97" s="43"/>
      <c r="E97" s="43"/>
      <c r="F97" s="43"/>
      <c r="G97" s="43"/>
      <c r="H97" s="43"/>
      <c r="I97" s="43"/>
      <c r="J97" s="43"/>
      <c r="K97" s="44"/>
    </row>
    <row r="98" spans="1:11" customFormat="1" ht="25">
      <c r="A98" s="9">
        <v>92</v>
      </c>
      <c r="B98" s="42"/>
      <c r="C98" s="43"/>
      <c r="D98" s="43"/>
      <c r="E98" s="43"/>
      <c r="F98" s="43"/>
      <c r="G98" s="43"/>
      <c r="H98" s="43"/>
      <c r="I98" s="43"/>
      <c r="J98" s="43"/>
      <c r="K98" s="44"/>
    </row>
    <row r="99" spans="1:11" customFormat="1" ht="25">
      <c r="A99" s="9">
        <v>93</v>
      </c>
      <c r="B99" s="42"/>
      <c r="C99" s="43"/>
      <c r="D99" s="43"/>
      <c r="E99" s="43"/>
      <c r="F99" s="43"/>
      <c r="G99" s="43"/>
      <c r="H99" s="43"/>
      <c r="I99" s="43"/>
      <c r="J99" s="43"/>
      <c r="K99" s="44"/>
    </row>
    <row r="100" spans="1:11" customFormat="1" ht="25">
      <c r="A100" s="9">
        <v>94</v>
      </c>
      <c r="B100" s="42"/>
      <c r="C100" s="43"/>
      <c r="D100" s="43"/>
      <c r="E100" s="43"/>
      <c r="F100" s="43"/>
      <c r="G100" s="43"/>
      <c r="H100" s="43"/>
      <c r="I100" s="43"/>
      <c r="J100" s="43"/>
      <c r="K100" s="44"/>
    </row>
    <row r="101" spans="1:11" customFormat="1" ht="25">
      <c r="A101" s="9">
        <v>95</v>
      </c>
      <c r="B101" s="42"/>
      <c r="C101" s="43"/>
      <c r="D101" s="43"/>
      <c r="E101" s="43"/>
      <c r="F101" s="43"/>
      <c r="G101" s="43"/>
      <c r="H101" s="43"/>
      <c r="I101" s="43"/>
      <c r="J101" s="43"/>
      <c r="K101" s="44"/>
    </row>
    <row r="102" spans="1:11" customFormat="1" ht="25">
      <c r="A102" s="9">
        <v>96</v>
      </c>
      <c r="B102" s="42"/>
      <c r="C102" s="43"/>
      <c r="D102" s="43"/>
      <c r="E102" s="43"/>
      <c r="F102" s="43"/>
      <c r="G102" s="43"/>
      <c r="H102" s="43"/>
      <c r="I102" s="43"/>
      <c r="J102" s="43"/>
      <c r="K102" s="44"/>
    </row>
    <row r="103" spans="1:11" customFormat="1" ht="25">
      <c r="A103" s="9">
        <v>97</v>
      </c>
      <c r="B103" s="42"/>
      <c r="C103" s="43"/>
      <c r="D103" s="43"/>
      <c r="E103" s="43"/>
      <c r="F103" s="43"/>
      <c r="G103" s="43"/>
      <c r="H103" s="43"/>
      <c r="I103" s="43"/>
      <c r="J103" s="43"/>
      <c r="K103" s="44"/>
    </row>
    <row r="104" spans="1:11" customFormat="1" ht="25">
      <c r="A104" s="9">
        <v>98</v>
      </c>
      <c r="B104" s="42"/>
      <c r="C104" s="43"/>
      <c r="D104" s="43"/>
      <c r="E104" s="43"/>
      <c r="F104" s="43"/>
      <c r="G104" s="43"/>
      <c r="H104" s="43"/>
      <c r="I104" s="43"/>
      <c r="J104" s="43"/>
      <c r="K104" s="44"/>
    </row>
    <row r="105" spans="1:11" customFormat="1" ht="25">
      <c r="A105" s="9">
        <v>99</v>
      </c>
      <c r="B105" s="42"/>
      <c r="C105" s="43"/>
      <c r="D105" s="43"/>
      <c r="E105" s="43"/>
      <c r="F105" s="43"/>
      <c r="G105" s="43"/>
      <c r="H105" s="43"/>
      <c r="I105" s="43"/>
      <c r="J105" s="43"/>
      <c r="K105" s="44"/>
    </row>
    <row r="106" spans="1:11" customFormat="1" ht="25">
      <c r="A106" s="14">
        <v>100</v>
      </c>
      <c r="B106" s="42"/>
      <c r="C106" s="43"/>
      <c r="D106" s="43"/>
      <c r="E106" s="43"/>
      <c r="F106" s="43"/>
      <c r="G106" s="43"/>
      <c r="H106" s="43"/>
      <c r="I106" s="43"/>
      <c r="J106" s="43"/>
      <c r="K106" s="44"/>
    </row>
    <row r="107" spans="1:11" hidden="1"/>
    <row r="108" spans="1:11" hidden="1"/>
    <row r="109" spans="1:11" hidden="1"/>
    <row r="110" spans="1:11" hidden="1"/>
    <row r="111" spans="1:11" hidden="1"/>
    <row r="112" spans="1: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sheetData>
  <mergeCells count="4">
    <mergeCell ref="A1:B1"/>
    <mergeCell ref="A2:A3"/>
    <mergeCell ref="A5:J5"/>
    <mergeCell ref="L1:O1"/>
  </mergeCells>
  <pageMargins left="0.70866141732283472" right="0.70866141732283472" top="0.74803149606299213" bottom="0.74803149606299213" header="0.31496062992125984" footer="0.31496062992125984"/>
  <pageSetup paperSize="9" scale="45" fitToHeight="0" orientation="portrait" horizontalDpi="0" verticalDpi="0" r:id="rId1"/>
  <drawing r:id="rId2"/>
  <tableParts count="2">
    <tablePart r:id="rId3"/>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'Entry Sheet'!$Q$6:$Q$67</xm:f>
          </x14:formula1>
          <xm:sqref>B3</xm:sqref>
        </x14:dataValidation>
        <x14:dataValidation type="list" allowBlank="1" showInputMessage="1" showErrorMessage="1">
          <x14:formula1>
            <xm:f>'Entry Sheet'!$S$6:$S$17</xm:f>
          </x14:formula1>
          <xm:sqref>D3</xm:sqref>
        </x14:dataValidation>
        <x14:dataValidation type="list" allowBlank="1" showInputMessage="1" showErrorMessage="1">
          <x14:formula1>
            <xm:f>'Entry Sheet'!$O$6:$O$7</xm:f>
          </x14:formula1>
          <xm:sqref>E3</xm:sqref>
        </x14:dataValidation>
        <x14:dataValidation type="list" allowBlank="1" showInputMessage="1" showErrorMessage="1">
          <x14:formula1>
            <xm:f>'Entry Sheet'!$M$6:$M$11</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sheetPr codeName="Sheet4">
    <tabColor theme="5" tint="-0.499984740745262"/>
    <pageSetUpPr fitToPage="1"/>
  </sheetPr>
  <dimension ref="A1:AN35"/>
  <sheetViews>
    <sheetView zoomScale="55" zoomScaleNormal="55" workbookViewId="0">
      <selection activeCell="S24" sqref="S24"/>
    </sheetView>
  </sheetViews>
  <sheetFormatPr defaultColWidth="0" defaultRowHeight="14.5" zeroHeight="1"/>
  <cols>
    <col min="1" max="1" width="10.7265625" customWidth="1"/>
    <col min="2" max="2" width="5.26953125" bestFit="1" customWidth="1"/>
    <col min="3" max="3" width="5.453125" bestFit="1" customWidth="1"/>
    <col min="4" max="4" width="6.54296875" bestFit="1" customWidth="1"/>
    <col min="5" max="5" width="5.26953125" bestFit="1" customWidth="1"/>
    <col min="6" max="6" width="5.453125" bestFit="1" customWidth="1"/>
    <col min="7" max="7" width="6.54296875" bestFit="1" customWidth="1"/>
    <col min="8" max="8" width="5.26953125" bestFit="1" customWidth="1"/>
    <col min="9" max="9" width="5.453125" bestFit="1" customWidth="1"/>
    <col min="10" max="10" width="6.54296875" bestFit="1" customWidth="1"/>
    <col min="11" max="11" width="5.26953125" bestFit="1" customWidth="1"/>
    <col min="12" max="12" width="5.453125" bestFit="1" customWidth="1"/>
    <col min="13" max="13" width="6.54296875" bestFit="1" customWidth="1"/>
    <col min="14" max="14" width="5.26953125" bestFit="1" customWidth="1"/>
    <col min="15" max="15" width="5.453125" bestFit="1" customWidth="1"/>
    <col min="16" max="16" width="6.54296875" bestFit="1" customWidth="1"/>
    <col min="17" max="17" width="5.26953125" bestFit="1" customWidth="1"/>
    <col min="18" max="18" width="5.453125" bestFit="1" customWidth="1"/>
    <col min="19" max="19" width="6.54296875" bestFit="1" customWidth="1"/>
    <col min="20" max="20" width="5.26953125" bestFit="1" customWidth="1"/>
    <col min="21" max="21" width="5.453125" bestFit="1" customWidth="1"/>
    <col min="22" max="22" width="6.54296875" bestFit="1" customWidth="1"/>
    <col min="23" max="23" width="5.26953125" bestFit="1" customWidth="1"/>
    <col min="24" max="24" width="5.453125" bestFit="1" customWidth="1"/>
    <col min="25" max="25" width="6.54296875" bestFit="1" customWidth="1"/>
    <col min="26" max="26" width="5.26953125" bestFit="1" customWidth="1"/>
    <col min="27" max="27" width="5.453125" bestFit="1" customWidth="1"/>
    <col min="28" max="28" width="6.54296875" bestFit="1" customWidth="1"/>
    <col min="29" max="29" width="5.26953125" bestFit="1" customWidth="1"/>
    <col min="30" max="30" width="5.453125" bestFit="1" customWidth="1"/>
    <col min="31" max="31" width="6.54296875" bestFit="1" customWidth="1"/>
    <col min="32" max="32" width="5.26953125" bestFit="1" customWidth="1"/>
    <col min="33" max="33" width="5.453125" bestFit="1" customWidth="1"/>
    <col min="34" max="34" width="6.54296875" bestFit="1" customWidth="1"/>
    <col min="35" max="35" width="5.26953125" bestFit="1" customWidth="1"/>
    <col min="36" max="36" width="5.453125" bestFit="1" customWidth="1"/>
    <col min="37" max="37" width="6.54296875" bestFit="1" customWidth="1"/>
    <col min="38" max="38" width="5.26953125" bestFit="1" customWidth="1"/>
    <col min="39" max="39" width="5.453125" bestFit="1" customWidth="1"/>
    <col min="40" max="40" width="6.54296875" bestFit="1" customWidth="1"/>
    <col min="41" max="16384" width="8.7265625" hidden="1"/>
  </cols>
  <sheetData>
    <row r="1" spans="1:40" ht="14.5" customHeight="1">
      <c r="A1" s="81" t="s">
        <v>17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row>
    <row r="2" spans="1:40" ht="24.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row>
    <row r="3" spans="1:40" ht="45.5">
      <c r="A3" s="82" t="s">
        <v>34</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row>
    <row r="4" spans="1:40" ht="33.5">
      <c r="B4" s="1"/>
      <c r="C4" s="1"/>
      <c r="D4" s="1"/>
      <c r="E4" s="1"/>
      <c r="F4" s="1"/>
      <c r="G4" s="1"/>
      <c r="H4" s="2"/>
      <c r="I4" s="3"/>
      <c r="J4" s="3"/>
      <c r="K4" s="86" t="s">
        <v>18</v>
      </c>
      <c r="L4" s="86"/>
      <c r="M4" s="86"/>
      <c r="N4" s="86"/>
      <c r="O4" s="86"/>
      <c r="P4" s="86"/>
      <c r="Q4" s="86"/>
      <c r="R4" s="86"/>
      <c r="S4" s="86"/>
      <c r="T4" s="86"/>
      <c r="U4" s="86"/>
      <c r="V4" s="86"/>
      <c r="W4" s="86"/>
      <c r="X4" s="84">
        <v>44013</v>
      </c>
      <c r="Y4" s="84"/>
      <c r="Z4" s="84"/>
      <c r="AA4" s="84"/>
      <c r="AB4" s="11"/>
      <c r="AC4" s="4"/>
      <c r="AD4" s="4"/>
      <c r="AE4" s="5"/>
      <c r="AF4" s="3"/>
      <c r="AG4" s="3"/>
      <c r="AH4" s="3"/>
      <c r="AI4" s="3"/>
      <c r="AJ4" s="3"/>
      <c r="AK4" s="3"/>
      <c r="AL4" s="1"/>
      <c r="AM4" s="1"/>
      <c r="AN4" s="1"/>
    </row>
    <row r="5" spans="1:40" ht="18">
      <c r="A5" s="76" t="s">
        <v>35</v>
      </c>
      <c r="B5" s="70" t="s">
        <v>19</v>
      </c>
      <c r="C5" s="71"/>
      <c r="D5" s="72"/>
      <c r="E5" s="73" t="s">
        <v>20</v>
      </c>
      <c r="F5" s="74"/>
      <c r="G5" s="75"/>
      <c r="H5" s="70" t="s">
        <v>21</v>
      </c>
      <c r="I5" s="71"/>
      <c r="J5" s="72"/>
      <c r="K5" s="73" t="s">
        <v>22</v>
      </c>
      <c r="L5" s="74"/>
      <c r="M5" s="75"/>
      <c r="N5" s="70" t="s">
        <v>23</v>
      </c>
      <c r="O5" s="71"/>
      <c r="P5" s="72"/>
      <c r="Q5" s="73" t="s">
        <v>24</v>
      </c>
      <c r="R5" s="74"/>
      <c r="S5" s="75"/>
      <c r="T5" s="70" t="s">
        <v>25</v>
      </c>
      <c r="U5" s="71"/>
      <c r="V5" s="72"/>
      <c r="W5" s="73" t="s">
        <v>26</v>
      </c>
      <c r="X5" s="74"/>
      <c r="Y5" s="75"/>
      <c r="Z5" s="70" t="s">
        <v>27</v>
      </c>
      <c r="AA5" s="71"/>
      <c r="AB5" s="72"/>
      <c r="AC5" s="73" t="s">
        <v>28</v>
      </c>
      <c r="AD5" s="74"/>
      <c r="AE5" s="75"/>
      <c r="AF5" s="70" t="s">
        <v>29</v>
      </c>
      <c r="AG5" s="71"/>
      <c r="AH5" s="72"/>
      <c r="AI5" s="73" t="s">
        <v>30</v>
      </c>
      <c r="AJ5" s="74"/>
      <c r="AK5" s="75"/>
      <c r="AL5" s="70" t="s">
        <v>31</v>
      </c>
      <c r="AM5" s="71"/>
      <c r="AN5" s="72"/>
    </row>
    <row r="6" spans="1:40" ht="18">
      <c r="A6" s="77"/>
      <c r="B6" s="46" t="s">
        <v>12</v>
      </c>
      <c r="C6" s="47" t="s">
        <v>13</v>
      </c>
      <c r="D6" s="51" t="s">
        <v>14</v>
      </c>
      <c r="E6" s="46" t="s">
        <v>12</v>
      </c>
      <c r="F6" s="47" t="s">
        <v>13</v>
      </c>
      <c r="G6" s="51" t="s">
        <v>14</v>
      </c>
      <c r="H6" s="46" t="s">
        <v>12</v>
      </c>
      <c r="I6" s="47" t="s">
        <v>13</v>
      </c>
      <c r="J6" s="51" t="s">
        <v>14</v>
      </c>
      <c r="K6" s="46" t="s">
        <v>12</v>
      </c>
      <c r="L6" s="47" t="s">
        <v>13</v>
      </c>
      <c r="M6" s="51" t="s">
        <v>14</v>
      </c>
      <c r="N6" s="46" t="s">
        <v>12</v>
      </c>
      <c r="O6" s="47" t="s">
        <v>13</v>
      </c>
      <c r="P6" s="51" t="s">
        <v>14</v>
      </c>
      <c r="Q6" s="46" t="s">
        <v>12</v>
      </c>
      <c r="R6" s="47" t="s">
        <v>13</v>
      </c>
      <c r="S6" s="51" t="s">
        <v>14</v>
      </c>
      <c r="T6" s="46" t="s">
        <v>12</v>
      </c>
      <c r="U6" s="47" t="s">
        <v>13</v>
      </c>
      <c r="V6" s="51" t="s">
        <v>14</v>
      </c>
      <c r="W6" s="46" t="s">
        <v>12</v>
      </c>
      <c r="X6" s="47" t="s">
        <v>13</v>
      </c>
      <c r="Y6" s="51" t="s">
        <v>14</v>
      </c>
      <c r="Z6" s="46" t="s">
        <v>12</v>
      </c>
      <c r="AA6" s="47" t="s">
        <v>13</v>
      </c>
      <c r="AB6" s="51" t="s">
        <v>14</v>
      </c>
      <c r="AC6" s="46" t="s">
        <v>12</v>
      </c>
      <c r="AD6" s="47" t="s">
        <v>13</v>
      </c>
      <c r="AE6" s="51" t="s">
        <v>14</v>
      </c>
      <c r="AF6" s="46" t="s">
        <v>12</v>
      </c>
      <c r="AG6" s="47" t="s">
        <v>13</v>
      </c>
      <c r="AH6" s="51" t="s">
        <v>14</v>
      </c>
      <c r="AI6" s="46" t="s">
        <v>12</v>
      </c>
      <c r="AJ6" s="47" t="s">
        <v>13</v>
      </c>
      <c r="AK6" s="51" t="s">
        <v>14</v>
      </c>
      <c r="AL6" s="46" t="s">
        <v>12</v>
      </c>
      <c r="AM6" s="47" t="s">
        <v>13</v>
      </c>
      <c r="AN6" s="51" t="s">
        <v>14</v>
      </c>
    </row>
    <row r="7" spans="1:40" ht="25">
      <c r="A7" s="78"/>
      <c r="B7" s="52">
        <f>COUNTIFS(Table1[Date],'Entry Sheet'!$N$3,Table1[Class],"1",Table1[Gender],"Boy")</f>
        <v>0</v>
      </c>
      <c r="C7" s="52">
        <f>COUNTIFS(Table1[Date],'Entry Sheet'!$N$3,Table1[Class],"1",Table1[Gender],"Girl")</f>
        <v>0</v>
      </c>
      <c r="D7" s="52">
        <f>SUM(B7:C7)</f>
        <v>0</v>
      </c>
      <c r="E7" s="52">
        <f>COUNTIFS(Table1[Date],'Entry Sheet'!$N$3,Table1[Class],"2",Table1[Gender],"Boy")</f>
        <v>0</v>
      </c>
      <c r="F7" s="52">
        <f>COUNTIFS(Table1[Date],'Entry Sheet'!$N$3,Table1[Class],"2",Table1[Gender],"Girl")</f>
        <v>0</v>
      </c>
      <c r="G7" s="52">
        <f>SUM(E7:F7)</f>
        <v>0</v>
      </c>
      <c r="H7" s="52">
        <f>COUNTIFS(Table1[Date],'Entry Sheet'!$N$3,Table1[Class],"3",Table1[Gender],"Boy")</f>
        <v>0</v>
      </c>
      <c r="I7" s="52">
        <f>COUNTIFS(Table1[Date],'Entry Sheet'!$N$3,Table1[Class],"3",Table1[Gender],"Girl")</f>
        <v>0</v>
      </c>
      <c r="J7" s="52">
        <f>SUM(H7:I7)</f>
        <v>0</v>
      </c>
      <c r="K7" s="52">
        <f>COUNTIFS(Table1[Date],'Entry Sheet'!$N$3,Table1[Class],"4",Table1[Gender],"Boy")</f>
        <v>0</v>
      </c>
      <c r="L7" s="52">
        <f>COUNTIFS(Table1[Date],'Entry Sheet'!$N$3,Table1[Class],"4",Table1[Gender],"Girl")</f>
        <v>0</v>
      </c>
      <c r="M7" s="52">
        <f>SUM(K7:L7)</f>
        <v>0</v>
      </c>
      <c r="N7" s="52">
        <f>COUNTIFS(Table1[Date],'Entry Sheet'!$N$3,Table1[Class],"5",Table1[Gender],"Boy")</f>
        <v>0</v>
      </c>
      <c r="O7" s="52">
        <f>COUNTIFS(Table1[Date],'Entry Sheet'!$N$3,Table1[Class],"5",Table1[Gender],"Girl")</f>
        <v>0</v>
      </c>
      <c r="P7" s="52">
        <f>SUM(N7:O7)</f>
        <v>0</v>
      </c>
      <c r="Q7" s="52">
        <f>COUNTIFS(Table1[Date],'Entry Sheet'!$N$3,Table1[Class],"6",Table1[Gender],"Boy")</f>
        <v>0</v>
      </c>
      <c r="R7" s="52">
        <f>COUNTIFS(Table1[Date],'Entry Sheet'!$N$3,Table1[Class],"6",Table1[Gender],"Girl")</f>
        <v>0</v>
      </c>
      <c r="S7" s="52">
        <f>SUM(Q7:R7)</f>
        <v>0</v>
      </c>
      <c r="T7" s="52">
        <f>COUNTIFS(Table1[Date],'Entry Sheet'!$N$3,Table1[Class],"7",Table1[Gender],"Boy")</f>
        <v>0</v>
      </c>
      <c r="U7" s="52">
        <f>COUNTIFS(Table1[Date],'Entry Sheet'!$N$3,Table1[Class],"7",Table1[Gender],"Girl")</f>
        <v>0</v>
      </c>
      <c r="V7" s="52">
        <f>SUM(T7:U7)</f>
        <v>0</v>
      </c>
      <c r="W7" s="52">
        <f>COUNTIFS(Table1[Date],'Entry Sheet'!$N$3,Table1[Class],"8",Table1[Gender],"Boy")</f>
        <v>0</v>
      </c>
      <c r="X7" s="52">
        <f>COUNTIFS(Table1[Date],'Entry Sheet'!$N$3,Table1[Class],"8",Table1[Gender],"Girl")</f>
        <v>0</v>
      </c>
      <c r="Y7" s="52">
        <f>SUM(W7:X7)</f>
        <v>0</v>
      </c>
      <c r="Z7" s="52">
        <f>COUNTIFS(Table1[Date],'Entry Sheet'!$N$3,Table1[Class],"9",Table1[Gender],"Boy")</f>
        <v>0</v>
      </c>
      <c r="AA7" s="52">
        <f>COUNTIFS(Table1[Date],'Entry Sheet'!$N$3,Table1[Class],"9",Table1[Gender],"Girl")</f>
        <v>0</v>
      </c>
      <c r="AB7" s="52">
        <f>SUM(Z7:AA7)</f>
        <v>0</v>
      </c>
      <c r="AC7" s="52">
        <f>COUNTIFS(Table1[Date],'Entry Sheet'!$N$3,Table1[Class],"10",Table1[Gender],"Boy")</f>
        <v>0</v>
      </c>
      <c r="AD7" s="52">
        <f>COUNTIFS(Table1[Date],'Entry Sheet'!$N$3,Table1[Class],"10",Table1[Gender],"Girl")</f>
        <v>0</v>
      </c>
      <c r="AE7" s="52">
        <f>SUM(AC7:AD7)</f>
        <v>0</v>
      </c>
      <c r="AF7" s="52">
        <f>COUNTIFS(Table1[Date],'Entry Sheet'!$N$3,Table1[Class],"11",Table1[Gender],"Boy")</f>
        <v>0</v>
      </c>
      <c r="AG7" s="52">
        <f>COUNTIFS(Table1[Date],'Entry Sheet'!$N$3,Table1[Class],"11",Table1[Gender],"Girl")</f>
        <v>0</v>
      </c>
      <c r="AH7" s="52">
        <f>SUM(AF7:AG7)</f>
        <v>0</v>
      </c>
      <c r="AI7" s="52">
        <f>COUNTIFS(Table1[Date],'Entry Sheet'!$N$3,Table1[Class],"12",Table1[Gender],"Boy")</f>
        <v>1</v>
      </c>
      <c r="AJ7" s="52">
        <f>COUNTIFS(Table1[Date],'Entry Sheet'!$N$3,Table1[Class],"12",Table1[Gender],"Girl")</f>
        <v>0</v>
      </c>
      <c r="AK7" s="52">
        <f>SUM(AI7:AJ7)</f>
        <v>1</v>
      </c>
      <c r="AL7" s="52">
        <f>B7+E7+H7+K7+N7+Q7+T7+W7+Z7+AC7+AF7+AI7</f>
        <v>1</v>
      </c>
      <c r="AM7" s="52">
        <f>C7+F7+I7+L7+O7+R7+U7+X7+AA7+AD7+AG7+AJ7</f>
        <v>0</v>
      </c>
      <c r="AN7" s="48">
        <f>SUM(AL7:AM7)</f>
        <v>1</v>
      </c>
    </row>
    <row r="8" spans="1:40" ht="18">
      <c r="A8" s="49" t="s">
        <v>39</v>
      </c>
      <c r="B8" s="50">
        <f>COUNTIFS(Table1[Date],'Entry Sheet'!$N$3,Table1[Class],"1",Table1[Gender],"Boy",Table1[Category],"General")</f>
        <v>0</v>
      </c>
      <c r="C8" s="50">
        <f>COUNTIFS(Table1[Date],'Entry Sheet'!$N$3,Table1[Class],"1",Table1[Gender],"Girl",Table1[Category],"General")</f>
        <v>0</v>
      </c>
      <c r="D8" s="50">
        <f t="shared" ref="D8:D13" si="0">SUM(B8:C8)</f>
        <v>0</v>
      </c>
      <c r="E8" s="50">
        <f>COUNTIFS(Table1[Date],'Entry Sheet'!$N$3,Table1[Class],"2",Table1[Gender],"Boy",Table1[Category],"General")</f>
        <v>0</v>
      </c>
      <c r="F8" s="50">
        <f>COUNTIFS(Table1[Date],'Entry Sheet'!$N$3,Table1[Class],"2",Table1[Gender],"Girl",Table1[Category],"General")</f>
        <v>0</v>
      </c>
      <c r="G8" s="50">
        <f t="shared" ref="G8:G13" si="1">SUM(E8:F8)</f>
        <v>0</v>
      </c>
      <c r="H8" s="50">
        <f>COUNTIFS(Table1[Date],'Entry Sheet'!$N$3,Table1[Class],"3",Table1[Gender],"Boy",Table1[Category],"General")</f>
        <v>0</v>
      </c>
      <c r="I8" s="50">
        <f>COUNTIFS(Table1[Date],'Entry Sheet'!$N$3,Table1[Class],"3",Table1[Gender],"Girl",Table1[Category],"General")</f>
        <v>0</v>
      </c>
      <c r="J8" s="50">
        <f t="shared" ref="J8:J12" si="2">SUM(H8:I8)</f>
        <v>0</v>
      </c>
      <c r="K8" s="50">
        <f>COUNTIFS(Table1[Date],'Entry Sheet'!$N$3,Table1[Class],"4",Table1[Gender],"Boy",Table1[Category],"General")</f>
        <v>0</v>
      </c>
      <c r="L8" s="50">
        <f>COUNTIFS(Table1[Date],'Entry Sheet'!$N$3,Table1[Class],"4",Table1[Gender],"Girl",Table1[Category],"General")</f>
        <v>0</v>
      </c>
      <c r="M8" s="50">
        <f t="shared" ref="M8:M13" si="3">SUM(K8:L8)</f>
        <v>0</v>
      </c>
      <c r="N8" s="50">
        <f>COUNTIFS(Table1[Date],'Entry Sheet'!$N$3,Table1[Class],"5",Table1[Gender],"Boy",Table1[Category],"General")</f>
        <v>0</v>
      </c>
      <c r="O8" s="50">
        <f>COUNTIFS(Table1[Date],'Entry Sheet'!$N$3,Table1[Class],"5",Table1[Gender],"Girl",Table1[Category],"General")</f>
        <v>0</v>
      </c>
      <c r="P8" s="50">
        <f t="shared" ref="P8:P13" si="4">SUM(N8:O8)</f>
        <v>0</v>
      </c>
      <c r="Q8" s="50">
        <f>COUNTIFS(Table1[Date],'Entry Sheet'!$N$3,Table1[Class],"6",Table1[Gender],"Boy",Table1[Category],"General")</f>
        <v>0</v>
      </c>
      <c r="R8" s="50">
        <f>COUNTIFS(Table1[Date],'Entry Sheet'!$N$3,Table1[Class],"6",Table1[Gender],"Girl",Table1[Category],"General")</f>
        <v>0</v>
      </c>
      <c r="S8" s="50">
        <f t="shared" ref="S8:S13" si="5">SUM(Q8:R8)</f>
        <v>0</v>
      </c>
      <c r="T8" s="50">
        <f>COUNTIFS(Table1[Date],'Entry Sheet'!$N$3,Table1[Class],"7",Table1[Gender],"Boy",Table1[Category],"General")</f>
        <v>0</v>
      </c>
      <c r="U8" s="50">
        <f>COUNTIFS(Table1[Date],'Entry Sheet'!$N$3,Table1[Class],"7",Table1[Gender],"Girl",Table1[Category],"General")</f>
        <v>0</v>
      </c>
      <c r="V8" s="50">
        <f t="shared" ref="V8:V13" si="6">SUM(T8:U8)</f>
        <v>0</v>
      </c>
      <c r="W8" s="50">
        <f>COUNTIFS(Table1[Date],'Entry Sheet'!$N$3,Table1[Class],"8",Table1[Gender],"Boy",Table1[Category],"General")</f>
        <v>0</v>
      </c>
      <c r="X8" s="50">
        <f>COUNTIFS(Table1[Date],'Entry Sheet'!$N$3,Table1[Class],"8",Table1[Gender],"Girl",Table1[Category],"General")</f>
        <v>0</v>
      </c>
      <c r="Y8" s="50">
        <f t="shared" ref="Y8:Y13" si="7">SUM(W8:X8)</f>
        <v>0</v>
      </c>
      <c r="Z8" s="50">
        <f>COUNTIFS(Table1[Date],'Entry Sheet'!$N$3,Table1[Class],"9",Table1[Gender],"Boy",Table1[Category],"General")</f>
        <v>0</v>
      </c>
      <c r="AA8" s="50">
        <f>COUNTIFS(Table1[Date],'Entry Sheet'!$N$3,Table1[Class],"9",Table1[Gender],"Girl",Table1[Category],"General")</f>
        <v>0</v>
      </c>
      <c r="AB8" s="50">
        <f t="shared" ref="AB8:AB13" si="8">SUM(Z8:AA8)</f>
        <v>0</v>
      </c>
      <c r="AC8" s="50">
        <f>COUNTIFS(Table1[Date],'Entry Sheet'!$N$3,Table1[Class],"10",Table1[Gender],"Boy",Table1[Category],"General")</f>
        <v>0</v>
      </c>
      <c r="AD8" s="50">
        <f>COUNTIFS(Table1[Date],'Entry Sheet'!$N$3,Table1[Class],"10",Table1[Gender],"Girl",Table1[Category],"General")</f>
        <v>0</v>
      </c>
      <c r="AE8" s="50">
        <f t="shared" ref="AE8:AE13" si="9">SUM(AC8:AD8)</f>
        <v>0</v>
      </c>
      <c r="AF8" s="50">
        <f>COUNTIFS(Table1[Date],'Entry Sheet'!$N$3,Table1[Class],"11",Table1[Gender],"Boy",Table1[Category],"General")</f>
        <v>0</v>
      </c>
      <c r="AG8" s="50">
        <f>COUNTIFS(Table1[Date],'Entry Sheet'!$N$3,Table1[Class],"11",Table1[Gender],"Girl",Table1[Category],"General")</f>
        <v>0</v>
      </c>
      <c r="AH8" s="50">
        <f t="shared" ref="AH8:AH13" si="10">SUM(AF8:AG8)</f>
        <v>0</v>
      </c>
      <c r="AI8" s="50">
        <f>COUNTIFS(Table1[Date],'Entry Sheet'!$N$3,Table1[Class],"12",Table1[Gender],"Boy",Table1[Category],"General")</f>
        <v>1</v>
      </c>
      <c r="AJ8" s="50">
        <f>COUNTIFS(Table1[Date],'Entry Sheet'!$N$3,Table1[Class],"12",Table1[Gender],"Girl",Table1[Category],"General")</f>
        <v>0</v>
      </c>
      <c r="AK8" s="50">
        <f t="shared" ref="AK8:AK13" si="11">SUM(AI8:AJ8)</f>
        <v>1</v>
      </c>
      <c r="AL8" s="48">
        <f t="shared" ref="AL8:AL13" si="12">B8+E8+H8+K8+N8+Q8+T8+W8+Z8+AC8+AF8+AI8</f>
        <v>1</v>
      </c>
      <c r="AM8" s="48">
        <f t="shared" ref="AM8:AM13" si="13">C8+F8+I8+L8+O8+R8+U8+X8+AA8+AD8+AG8+AJ8</f>
        <v>0</v>
      </c>
      <c r="AN8" s="48">
        <f t="shared" ref="AN8:AN13" si="14">SUM(AL8:AM8)</f>
        <v>1</v>
      </c>
    </row>
    <row r="9" spans="1:40" ht="18">
      <c r="A9" s="49" t="s">
        <v>40</v>
      </c>
      <c r="B9" s="50">
        <f>COUNTIFS(Table1[Date],'Entry Sheet'!$N$3,Table1[Class],"1",Table1[Gender],"Boy",Table1[Category],"SC")</f>
        <v>0</v>
      </c>
      <c r="C9" s="50">
        <f>COUNTIFS(Table1[Date],'Entry Sheet'!$N$3,Table1[Class],"1",Table1[Gender],"Girl",Table1[Category],"SC")</f>
        <v>0</v>
      </c>
      <c r="D9" s="50">
        <f t="shared" si="0"/>
        <v>0</v>
      </c>
      <c r="E9" s="50">
        <f>COUNTIFS(Table1[Date],'Entry Sheet'!$N$3,Table1[Class],"2",Table1[Gender],"Boy",Table1[Category],"SC")</f>
        <v>0</v>
      </c>
      <c r="F9" s="50">
        <f>COUNTIFS(Table1[Date],'Entry Sheet'!$N$3,Table1[Class],"2",Table1[Gender],"Girl",Table1[Category],"SC")</f>
        <v>0</v>
      </c>
      <c r="G9" s="50">
        <f t="shared" si="1"/>
        <v>0</v>
      </c>
      <c r="H9" s="50">
        <f>COUNTIFS(Table1[Date],'Entry Sheet'!$N$3,Table1[Class],"3",Table1[Gender],"Boy",Table1[Category],"SC")</f>
        <v>0</v>
      </c>
      <c r="I9" s="50">
        <f>COUNTIFS(Table1[Date],'Entry Sheet'!$N$3,Table1[Class],"3",Table1[Gender],"Girl",Table1[Category],"SC")</f>
        <v>0</v>
      </c>
      <c r="J9" s="50">
        <f t="shared" si="2"/>
        <v>0</v>
      </c>
      <c r="K9" s="50">
        <f>COUNTIFS(Table1[Date],'Entry Sheet'!$N$3,Table1[Class],"4",Table1[Gender],"Boy",Table1[Category],"SC")</f>
        <v>0</v>
      </c>
      <c r="L9" s="50">
        <f>COUNTIFS(Table1[Date],'Entry Sheet'!$N$3,Table1[Class],"4",Table1[Gender],"Girl",Table1[Category],"SC")</f>
        <v>0</v>
      </c>
      <c r="M9" s="50">
        <f t="shared" si="3"/>
        <v>0</v>
      </c>
      <c r="N9" s="50">
        <f>COUNTIFS(Table1[Date],'Entry Sheet'!$N$3,Table1[Class],"5",Table1[Gender],"Boy",Table1[Category],"SC")</f>
        <v>0</v>
      </c>
      <c r="O9" s="50">
        <f>COUNTIFS(Table1[Date],'Entry Sheet'!$N$3,Table1[Class],"5",Table1[Gender],"Girl",Table1[Category],"SC")</f>
        <v>0</v>
      </c>
      <c r="P9" s="50">
        <f t="shared" si="4"/>
        <v>0</v>
      </c>
      <c r="Q9" s="50">
        <f>COUNTIFS(Table1[Date],'Entry Sheet'!$N$3,Table1[Class],"6",Table1[Gender],"Boy",Table1[Category],"SC")</f>
        <v>0</v>
      </c>
      <c r="R9" s="50">
        <f>COUNTIFS(Table1[Date],'Entry Sheet'!$N$3,Table1[Class],"6",Table1[Gender],"Girl",Table1[Category],"SC")</f>
        <v>0</v>
      </c>
      <c r="S9" s="50">
        <f t="shared" si="5"/>
        <v>0</v>
      </c>
      <c r="T9" s="50">
        <f>COUNTIFS(Table1[Date],'Entry Sheet'!$N$3,Table1[Class],"7",Table1[Gender],"Boy",Table1[Category],"SC")</f>
        <v>0</v>
      </c>
      <c r="U9" s="50">
        <f>COUNTIFS(Table1[Date],'Entry Sheet'!$N$3,Table1[Class],"7",Table1[Gender],"Girl",Table1[Category],"SC")</f>
        <v>0</v>
      </c>
      <c r="V9" s="50">
        <f t="shared" si="6"/>
        <v>0</v>
      </c>
      <c r="W9" s="50">
        <f>COUNTIFS(Table1[Date],'Entry Sheet'!$N$3,Table1[Class],"8",Table1[Gender],"Boy",Table1[Category],"SC")</f>
        <v>0</v>
      </c>
      <c r="X9" s="50">
        <f>COUNTIFS(Table1[Date],'Entry Sheet'!$N$3,Table1[Class],"8",Table1[Gender],"Girl",Table1[Category],"SC")</f>
        <v>0</v>
      </c>
      <c r="Y9" s="50">
        <f t="shared" si="7"/>
        <v>0</v>
      </c>
      <c r="Z9" s="50">
        <f>COUNTIFS(Table1[Date],'Entry Sheet'!$N$3,Table1[Class],"9",Table1[Gender],"Boy",Table1[Category],"SC")</f>
        <v>0</v>
      </c>
      <c r="AA9" s="50">
        <f>COUNTIFS(Table1[Date],'Entry Sheet'!$N$3,Table1[Class],"9",Table1[Gender],"Girl",Table1[Category],"SC")</f>
        <v>0</v>
      </c>
      <c r="AB9" s="50">
        <f t="shared" si="8"/>
        <v>0</v>
      </c>
      <c r="AC9" s="50">
        <f>COUNTIFS(Table1[Date],'Entry Sheet'!$N$3,Table1[Class],"10",Table1[Gender],"Boy",Table1[Category],"SC")</f>
        <v>0</v>
      </c>
      <c r="AD9" s="50">
        <f>COUNTIFS(Table1[Date],'Entry Sheet'!$N$3,Table1[Class],"10",Table1[Gender],"Girl",Table1[Category],"SC")</f>
        <v>0</v>
      </c>
      <c r="AE9" s="50">
        <f t="shared" si="9"/>
        <v>0</v>
      </c>
      <c r="AF9" s="50">
        <f>COUNTIFS(Table1[Date],'Entry Sheet'!$N$3,Table1[Class],"11",Table1[Gender],"Boy",Table1[Category],"SC")</f>
        <v>0</v>
      </c>
      <c r="AG9" s="50">
        <f>COUNTIFS(Table1[Date],'Entry Sheet'!$N$3,Table1[Class],"11",Table1[Gender],"Girl",Table1[Category],"SC")</f>
        <v>0</v>
      </c>
      <c r="AH9" s="50">
        <f t="shared" si="10"/>
        <v>0</v>
      </c>
      <c r="AI9" s="50">
        <f>COUNTIFS(Table1[Date],'Entry Sheet'!$N$3,Table1[Class],"12",Table1[Gender],"Boy",Table1[Category],"SC")</f>
        <v>0</v>
      </c>
      <c r="AJ9" s="50">
        <f>COUNTIFS(Table1[Date],'Entry Sheet'!$N$3,Table1[Class],"12",Table1[Gender],"Girl",Table1[Category],"SC")</f>
        <v>0</v>
      </c>
      <c r="AK9" s="50">
        <f t="shared" si="11"/>
        <v>0</v>
      </c>
      <c r="AL9" s="48">
        <f t="shared" si="12"/>
        <v>0</v>
      </c>
      <c r="AM9" s="48">
        <f t="shared" si="13"/>
        <v>0</v>
      </c>
      <c r="AN9" s="48">
        <f t="shared" si="14"/>
        <v>0</v>
      </c>
    </row>
    <row r="10" spans="1:40" ht="18">
      <c r="A10" s="49" t="s">
        <v>41</v>
      </c>
      <c r="B10" s="50">
        <f>COUNTIFS(Table1[Date],'Entry Sheet'!$N$3,Table1[Class],"1",Table1[Gender],"Boy",Table1[Category],"ST")</f>
        <v>0</v>
      </c>
      <c r="C10" s="50">
        <f>COUNTIFS(Table1[Date],'Entry Sheet'!$N$3,Table1[Class],"1",Table1[Gender],"Girl",Table1[Category],"ST")</f>
        <v>0</v>
      </c>
      <c r="D10" s="50">
        <f t="shared" si="0"/>
        <v>0</v>
      </c>
      <c r="E10" s="50">
        <f>COUNTIFS(Table1[Date],'Entry Sheet'!$N$3,Table1[Class],"2",Table1[Gender],"Boy",Table1[Category],"ST")</f>
        <v>0</v>
      </c>
      <c r="F10" s="50">
        <f>COUNTIFS(Table1[Date],'Entry Sheet'!$N$3,Table1[Class],"2",Table1[Gender],"Girl",Table1[Category],"ST")</f>
        <v>0</v>
      </c>
      <c r="G10" s="50">
        <f t="shared" si="1"/>
        <v>0</v>
      </c>
      <c r="H10" s="50">
        <f>COUNTIFS(Table1[Date],'Entry Sheet'!$N$3,Table1[Class],"3",Table1[Gender],"Boy",Table1[Category],"ST")</f>
        <v>0</v>
      </c>
      <c r="I10" s="50">
        <f>COUNTIFS(Table1[Date],'Entry Sheet'!$N$3,Table1[Class],"3",Table1[Gender],"Girl",Table1[Category],"ST")</f>
        <v>0</v>
      </c>
      <c r="J10" s="50">
        <f t="shared" si="2"/>
        <v>0</v>
      </c>
      <c r="K10" s="50">
        <f>COUNTIFS(Table1[Date],'Entry Sheet'!$N$3,Table1[Class],"4",Table1[Gender],"Boy",Table1[Category],"ST")</f>
        <v>0</v>
      </c>
      <c r="L10" s="50">
        <f>COUNTIFS(Table1[Date],'Entry Sheet'!$N$3,Table1[Class],"4",Table1[Gender],"Girl",Table1[Category],"ST")</f>
        <v>0</v>
      </c>
      <c r="M10" s="50">
        <f t="shared" si="3"/>
        <v>0</v>
      </c>
      <c r="N10" s="50">
        <f>COUNTIFS(Table1[Date],'Entry Sheet'!$N$3,Table1[Class],"5",Table1[Gender],"Boy",Table1[Category],"ST")</f>
        <v>0</v>
      </c>
      <c r="O10" s="50">
        <f>COUNTIFS(Table1[Date],'Entry Sheet'!$N$3,Table1[Class],"5",Table1[Gender],"Girl",Table1[Category],"ST")</f>
        <v>0</v>
      </c>
      <c r="P10" s="50">
        <f t="shared" si="4"/>
        <v>0</v>
      </c>
      <c r="Q10" s="50">
        <f>COUNTIFS(Table1[Date],'Entry Sheet'!$N$3,Table1[Class],"6",Table1[Gender],"Boy",Table1[Category],"ST")</f>
        <v>0</v>
      </c>
      <c r="R10" s="50">
        <f>COUNTIFS(Table1[Date],'Entry Sheet'!$N$3,Table1[Class],"6",Table1[Gender],"Girl",Table1[Category],"ST")</f>
        <v>0</v>
      </c>
      <c r="S10" s="50">
        <f t="shared" si="5"/>
        <v>0</v>
      </c>
      <c r="T10" s="50">
        <f>COUNTIFS(Table1[Date],'Entry Sheet'!$N$3,Table1[Class],"7",Table1[Gender],"Boy",Table1[Category],"ST")</f>
        <v>0</v>
      </c>
      <c r="U10" s="50">
        <f>COUNTIFS(Table1[Date],'Entry Sheet'!$N$3,Table1[Class],"7",Table1[Gender],"Girl",Table1[Category],"ST")</f>
        <v>0</v>
      </c>
      <c r="V10" s="50">
        <f t="shared" si="6"/>
        <v>0</v>
      </c>
      <c r="W10" s="50">
        <f>COUNTIFS(Table1[Date],'Entry Sheet'!$N$3,Table1[Class],"8",Table1[Gender],"Boy",Table1[Category],"ST")</f>
        <v>0</v>
      </c>
      <c r="X10" s="50">
        <f>COUNTIFS(Table1[Date],'Entry Sheet'!$N$3,Table1[Class],"8",Table1[Gender],"Girl",Table1[Category],"ST")</f>
        <v>0</v>
      </c>
      <c r="Y10" s="50">
        <f t="shared" si="7"/>
        <v>0</v>
      </c>
      <c r="Z10" s="50">
        <f>COUNTIFS(Table1[Date],'Entry Sheet'!$N$3,Table1[Class],"9",Table1[Gender],"Boy",Table1[Category],"ST")</f>
        <v>0</v>
      </c>
      <c r="AA10" s="50">
        <f>COUNTIFS(Table1[Date],'Entry Sheet'!$N$3,Table1[Class],"9",Table1[Gender],"Girl",Table1[Category],"ST")</f>
        <v>0</v>
      </c>
      <c r="AB10" s="50">
        <f t="shared" si="8"/>
        <v>0</v>
      </c>
      <c r="AC10" s="50">
        <f>COUNTIFS(Table1[Date],'Entry Sheet'!$N$3,Table1[Class],"10",Table1[Gender],"Boy",Table1[Category],"ST")</f>
        <v>0</v>
      </c>
      <c r="AD10" s="50">
        <f>COUNTIFS(Table1[Date],'Entry Sheet'!$N$3,Table1[Class],"10",Table1[Gender],"Girl",Table1[Category],"ST")</f>
        <v>0</v>
      </c>
      <c r="AE10" s="50">
        <f t="shared" si="9"/>
        <v>0</v>
      </c>
      <c r="AF10" s="50">
        <f>COUNTIFS(Table1[Date],'Entry Sheet'!$N$3,Table1[Class],"11",Table1[Gender],"Boy",Table1[Category],"ST")</f>
        <v>0</v>
      </c>
      <c r="AG10" s="50">
        <f>COUNTIFS(Table1[Date],'Entry Sheet'!$N$3,Table1[Class],"11",Table1[Gender],"Girl",Table1[Category],"ST")</f>
        <v>0</v>
      </c>
      <c r="AH10" s="50">
        <f t="shared" si="10"/>
        <v>0</v>
      </c>
      <c r="AI10" s="50">
        <f>COUNTIFS(Table1[Date],'Entry Sheet'!$N$3,Table1[Class],"12",Table1[Gender],"Boy",Table1[Category],"ST")</f>
        <v>0</v>
      </c>
      <c r="AJ10" s="50">
        <f>COUNTIFS(Table1[Date],'Entry Sheet'!$N$3,Table1[Class],"12",Table1[Gender],"Girl",Table1[Category],"ST")</f>
        <v>0</v>
      </c>
      <c r="AK10" s="50">
        <f t="shared" si="11"/>
        <v>0</v>
      </c>
      <c r="AL10" s="48">
        <f t="shared" si="12"/>
        <v>0</v>
      </c>
      <c r="AM10" s="48">
        <f t="shared" si="13"/>
        <v>0</v>
      </c>
      <c r="AN10" s="48">
        <f t="shared" si="14"/>
        <v>0</v>
      </c>
    </row>
    <row r="11" spans="1:40" ht="18">
      <c r="A11" s="49" t="s">
        <v>38</v>
      </c>
      <c r="B11" s="50">
        <f>COUNTIFS(Table1[Date],'Entry Sheet'!$N$3,Table1[Class],"1",Table1[Gender],"Boy",Table1[Category],"OBC")</f>
        <v>0</v>
      </c>
      <c r="C11" s="50">
        <f>COUNTIFS(Table1[Date],'Entry Sheet'!$N$3,Table1[Class],"1",Table1[Gender],"Girl",Table1[Category],"OBC")</f>
        <v>0</v>
      </c>
      <c r="D11" s="50">
        <f t="shared" si="0"/>
        <v>0</v>
      </c>
      <c r="E11" s="50">
        <f>COUNTIFS(Table1[Date],'Entry Sheet'!$N$3,Table1[Class],"2",Table1[Gender],"Boy",Table1[Category],"OBC")</f>
        <v>0</v>
      </c>
      <c r="F11" s="50">
        <f>COUNTIFS(Table1[Date],'Entry Sheet'!$N$3,Table1[Class],"2",Table1[Gender],"Girl",Table1[Category],"OBC")</f>
        <v>0</v>
      </c>
      <c r="G11" s="50">
        <f t="shared" si="1"/>
        <v>0</v>
      </c>
      <c r="H11" s="50">
        <f>COUNTIFS(Table1[Date],'Entry Sheet'!$N$3,Table1[Class],"3",Table1[Gender],"Boy",Table1[Category],"OBC")</f>
        <v>0</v>
      </c>
      <c r="I11" s="50">
        <f>COUNTIFS(Table1[Date],'Entry Sheet'!$N$3,Table1[Class],"3",Table1[Gender],"Girl",Table1[Category],"OBC")</f>
        <v>0</v>
      </c>
      <c r="J11" s="50">
        <f t="shared" si="2"/>
        <v>0</v>
      </c>
      <c r="K11" s="50">
        <f>COUNTIFS(Table1[Date],'Entry Sheet'!$N$3,Table1[Class],"4",Table1[Gender],"Boy",Table1[Category],"OBC")</f>
        <v>0</v>
      </c>
      <c r="L11" s="50">
        <f>COUNTIFS(Table1[Date],'Entry Sheet'!$N$3,Table1[Class],"4",Table1[Gender],"Girl",Table1[Category],"OBC")</f>
        <v>0</v>
      </c>
      <c r="M11" s="50">
        <f t="shared" si="3"/>
        <v>0</v>
      </c>
      <c r="N11" s="50">
        <f>COUNTIFS(Table1[Date],'Entry Sheet'!$N$3,Table1[Class],"5",Table1[Gender],"Boy",Table1[Category],"OBC")</f>
        <v>0</v>
      </c>
      <c r="O11" s="50">
        <f>COUNTIFS(Table1[Date],'Entry Sheet'!$N$3,Table1[Class],"5",Table1[Gender],"Girl",Table1[Category],"OBC")</f>
        <v>0</v>
      </c>
      <c r="P11" s="50">
        <f t="shared" si="4"/>
        <v>0</v>
      </c>
      <c r="Q11" s="50">
        <f>COUNTIFS(Table1[Date],'Entry Sheet'!$N$3,Table1[Class],"6",Table1[Gender],"Boy",Table1[Category],"OBC")</f>
        <v>0</v>
      </c>
      <c r="R11" s="50">
        <f>COUNTIFS(Table1[Date],'Entry Sheet'!$N$3,Table1[Class],"6",Table1[Gender],"Girl",Table1[Category],"OBC")</f>
        <v>0</v>
      </c>
      <c r="S11" s="50">
        <f t="shared" si="5"/>
        <v>0</v>
      </c>
      <c r="T11" s="50">
        <f>COUNTIFS(Table1[Date],'Entry Sheet'!$N$3,Table1[Class],"7",Table1[Gender],"Boy",Table1[Category],"OBC")</f>
        <v>0</v>
      </c>
      <c r="U11" s="50">
        <f>COUNTIFS(Table1[Date],'Entry Sheet'!$N$3,Table1[Class],"7",Table1[Gender],"Girl",Table1[Category],"OBC")</f>
        <v>0</v>
      </c>
      <c r="V11" s="50">
        <f t="shared" si="6"/>
        <v>0</v>
      </c>
      <c r="W11" s="50">
        <f>COUNTIFS(Table1[Date],'Entry Sheet'!$N$3,Table1[Class],"8",Table1[Gender],"Boy",Table1[Category],"OBC")</f>
        <v>0</v>
      </c>
      <c r="X11" s="50">
        <f>COUNTIFS(Table1[Date],'Entry Sheet'!$N$3,Table1[Class],"8",Table1[Gender],"Girl",Table1[Category],"OBC")</f>
        <v>0</v>
      </c>
      <c r="Y11" s="50">
        <f t="shared" si="7"/>
        <v>0</v>
      </c>
      <c r="Z11" s="50">
        <f>COUNTIFS(Table1[Date],'Entry Sheet'!$N$3,Table1[Class],"9",Table1[Gender],"Boy",Table1[Category],"OBC")</f>
        <v>0</v>
      </c>
      <c r="AA11" s="50">
        <f>COUNTIFS(Table1[Date],'Entry Sheet'!$N$3,Table1[Class],"9",Table1[Gender],"Girl",Table1[Category],"OBC")</f>
        <v>0</v>
      </c>
      <c r="AB11" s="50">
        <f t="shared" si="8"/>
        <v>0</v>
      </c>
      <c r="AC11" s="50">
        <f>COUNTIFS(Table1[Date],'Entry Sheet'!$N$3,Table1[Class],"10",Table1[Gender],"Boy",Table1[Category],"OBC")</f>
        <v>0</v>
      </c>
      <c r="AD11" s="50">
        <f>COUNTIFS(Table1[Date],'Entry Sheet'!$N$3,Table1[Class],"10",Table1[Gender],"Girl",Table1[Category],"OBC")</f>
        <v>0</v>
      </c>
      <c r="AE11" s="50">
        <f t="shared" si="9"/>
        <v>0</v>
      </c>
      <c r="AF11" s="50">
        <f>COUNTIFS(Table1[Date],'Entry Sheet'!$N$3,Table1[Class],"11",Table1[Gender],"Boy",Table1[Category],"OBC")</f>
        <v>0</v>
      </c>
      <c r="AG11" s="50">
        <f>COUNTIFS(Table1[Date],'Entry Sheet'!$N$3,Table1[Class],"11",Table1[Gender],"Girl",Table1[Category],"OBC")</f>
        <v>0</v>
      </c>
      <c r="AH11" s="50">
        <f t="shared" si="10"/>
        <v>0</v>
      </c>
      <c r="AI11" s="50">
        <f>COUNTIFS(Table1[Date],'Entry Sheet'!$N$3,Table1[Class],"12",Table1[Gender],"Boy",Table1[Category],"OBC")</f>
        <v>0</v>
      </c>
      <c r="AJ11" s="50">
        <f>COUNTIFS(Table1[Date],'Entry Sheet'!$N$3,Table1[Class],"12",Table1[Gender],"Girl",Table1[Category],"OBC")</f>
        <v>0</v>
      </c>
      <c r="AK11" s="50">
        <f t="shared" si="11"/>
        <v>0</v>
      </c>
      <c r="AL11" s="48">
        <f t="shared" si="12"/>
        <v>0</v>
      </c>
      <c r="AM11" s="48">
        <f t="shared" si="13"/>
        <v>0</v>
      </c>
      <c r="AN11" s="48">
        <f t="shared" si="14"/>
        <v>0</v>
      </c>
    </row>
    <row r="12" spans="1:40" ht="18">
      <c r="A12" s="49" t="s">
        <v>42</v>
      </c>
      <c r="B12" s="50">
        <f>COUNTIFS(Table1[Date],'Entry Sheet'!$N$3,Table1[Class],"1",Table1[Gender],"Boy",Table1[Category],"SBC")</f>
        <v>0</v>
      </c>
      <c r="C12" s="50">
        <f>COUNTIFS(Table1[Date],'Entry Sheet'!$N$3,Table1[Class],"1",Table1[Gender],"Girl",Table1[Category],"SBC")</f>
        <v>0</v>
      </c>
      <c r="D12" s="50">
        <f t="shared" si="0"/>
        <v>0</v>
      </c>
      <c r="E12" s="50">
        <f>COUNTIFS(Table1[Date],'Entry Sheet'!$N$3,Table1[Class],"2",Table1[Gender],"Boy",Table1[Category],"SBC")</f>
        <v>0</v>
      </c>
      <c r="F12" s="50">
        <f>COUNTIFS(Table1[Date],'Entry Sheet'!$N$3,Table1[Class],"2",Table1[Gender],"Girl",Table1[Category],"SBC")</f>
        <v>0</v>
      </c>
      <c r="G12" s="50">
        <f t="shared" si="1"/>
        <v>0</v>
      </c>
      <c r="H12" s="50">
        <f>COUNTIFS(Table1[Date],'Entry Sheet'!$N$3,Table1[Class],"3",Table1[Gender],"Boy",Table1[Category],"SBC")</f>
        <v>0</v>
      </c>
      <c r="I12" s="50">
        <f>COUNTIFS(Table1[Date],'Entry Sheet'!$N$3,Table1[Class],"3",Table1[Gender],"Girl",Table1[Category],"SBC")</f>
        <v>0</v>
      </c>
      <c r="J12" s="50">
        <f t="shared" si="2"/>
        <v>0</v>
      </c>
      <c r="K12" s="50">
        <f>COUNTIFS(Table1[Date],'Entry Sheet'!$N$3,Table1[Class],"4",Table1[Gender],"Boy",Table1[Category],"SBC")</f>
        <v>0</v>
      </c>
      <c r="L12" s="50">
        <f>COUNTIFS(Table1[Date],'Entry Sheet'!$N$3,Table1[Class],"4",Table1[Gender],"Girl",Table1[Category],"SBC")</f>
        <v>0</v>
      </c>
      <c r="M12" s="50">
        <f t="shared" si="3"/>
        <v>0</v>
      </c>
      <c r="N12" s="50">
        <f>COUNTIFS(Table1[Date],'Entry Sheet'!$N$3,Table1[Class],"5",Table1[Gender],"Boy",Table1[Category],"SBC")</f>
        <v>0</v>
      </c>
      <c r="O12" s="50">
        <f>COUNTIFS(Table1[Date],'Entry Sheet'!$N$3,Table1[Class],"5",Table1[Gender],"Girl",Table1[Category],"SBC")</f>
        <v>0</v>
      </c>
      <c r="P12" s="50">
        <f t="shared" si="4"/>
        <v>0</v>
      </c>
      <c r="Q12" s="50">
        <f>COUNTIFS(Table1[Date],'Entry Sheet'!$N$3,Table1[Class],"6",Table1[Gender],"Boy",Table1[Category],"SBC")</f>
        <v>0</v>
      </c>
      <c r="R12" s="50">
        <f>COUNTIFS(Table1[Date],'Entry Sheet'!$N$3,Table1[Class],"6",Table1[Gender],"Girl",Table1[Category],"SBC")</f>
        <v>0</v>
      </c>
      <c r="S12" s="50">
        <f t="shared" si="5"/>
        <v>0</v>
      </c>
      <c r="T12" s="50">
        <f>COUNTIFS(Table1[Date],'Entry Sheet'!$N$3,Table1[Class],"7",Table1[Gender],"Boy",Table1[Category],"SBC")</f>
        <v>0</v>
      </c>
      <c r="U12" s="50">
        <f>COUNTIFS(Table1[Date],'Entry Sheet'!$N$3,Table1[Class],"7",Table1[Gender],"Girl",Table1[Category],"SBC")</f>
        <v>0</v>
      </c>
      <c r="V12" s="50">
        <f t="shared" si="6"/>
        <v>0</v>
      </c>
      <c r="W12" s="50">
        <f>COUNTIFS(Table1[Date],'Entry Sheet'!$N$3,Table1[Class],"8",Table1[Gender],"Boy",Table1[Category],"SBC")</f>
        <v>0</v>
      </c>
      <c r="X12" s="50">
        <f>COUNTIFS(Table1[Date],'Entry Sheet'!$N$3,Table1[Class],"8",Table1[Gender],"Girl",Table1[Category],"SBC")</f>
        <v>0</v>
      </c>
      <c r="Y12" s="50">
        <f t="shared" si="7"/>
        <v>0</v>
      </c>
      <c r="Z12" s="50">
        <f>COUNTIFS(Table1[Date],'Entry Sheet'!$N$3,Table1[Class],"9",Table1[Gender],"Boy",Table1[Category],"SBC")</f>
        <v>0</v>
      </c>
      <c r="AA12" s="50">
        <f>COUNTIFS(Table1[Date],'Entry Sheet'!$N$3,Table1[Class],"9",Table1[Gender],"Girl",Table1[Category],"SBC")</f>
        <v>0</v>
      </c>
      <c r="AB12" s="50">
        <f t="shared" si="8"/>
        <v>0</v>
      </c>
      <c r="AC12" s="50">
        <f>COUNTIFS(Table1[Date],'Entry Sheet'!$N$3,Table1[Class],"10",Table1[Gender],"Boy",Table1[Category],"SBC")</f>
        <v>0</v>
      </c>
      <c r="AD12" s="50">
        <f>COUNTIFS(Table1[Date],'Entry Sheet'!$N$3,Table1[Class],"10",Table1[Gender],"Girl",Table1[Category],"SBC")</f>
        <v>0</v>
      </c>
      <c r="AE12" s="50">
        <f t="shared" si="9"/>
        <v>0</v>
      </c>
      <c r="AF12" s="50">
        <f>COUNTIFS(Table1[Date],'Entry Sheet'!$N$3,Table1[Class],"11",Table1[Gender],"Boy",Table1[Category],"SBC")</f>
        <v>0</v>
      </c>
      <c r="AG12" s="50">
        <f>COUNTIFS(Table1[Date],'Entry Sheet'!$N$3,Table1[Class],"11",Table1[Gender],"Girl",Table1[Category],"SBC")</f>
        <v>0</v>
      </c>
      <c r="AH12" s="50">
        <f t="shared" si="10"/>
        <v>0</v>
      </c>
      <c r="AI12" s="50">
        <f>COUNTIFS(Table1[Date],'Entry Sheet'!$N$3,Table1[Class],"12",Table1[Gender],"Boy",Table1[Category],"SBC")</f>
        <v>0</v>
      </c>
      <c r="AJ12" s="50">
        <f>COUNTIFS(Table1[Date],'Entry Sheet'!$N$3,Table1[Class],"12",Table1[Gender],"Girl",Table1[Category],"SBC")</f>
        <v>0</v>
      </c>
      <c r="AK12" s="50">
        <f t="shared" si="11"/>
        <v>0</v>
      </c>
      <c r="AL12" s="48">
        <f t="shared" si="12"/>
        <v>0</v>
      </c>
      <c r="AM12" s="48">
        <f t="shared" si="13"/>
        <v>0</v>
      </c>
      <c r="AN12" s="48">
        <f t="shared" si="14"/>
        <v>0</v>
      </c>
    </row>
    <row r="13" spans="1:40" ht="18">
      <c r="A13" s="49" t="s">
        <v>43</v>
      </c>
      <c r="B13" s="50">
        <f>COUNTIFS(Table1[Date],'Entry Sheet'!$N$3,Table1[Class],"1",Table1[Gender],"Boy",Table1[Category],"Minority")</f>
        <v>0</v>
      </c>
      <c r="C13" s="50">
        <f>COUNTIFS(Table1[Date],'Entry Sheet'!$N$3,Table1[Class],"1",Table1[Gender],"Girl",Table1[Category],"Minority")</f>
        <v>0</v>
      </c>
      <c r="D13" s="50">
        <f t="shared" si="0"/>
        <v>0</v>
      </c>
      <c r="E13" s="50">
        <f>COUNTIFS(Table1[Date],'Entry Sheet'!$N$3,Table1[Class],"2",Table1[Gender],"Boy",Table1[Category],"Minority")</f>
        <v>0</v>
      </c>
      <c r="F13" s="50">
        <f>COUNTIFS(Table1[Date],'Entry Sheet'!$N$3,Table1[Class],"2",Table1[Gender],"Girl",Table1[Category],"Minority")</f>
        <v>0</v>
      </c>
      <c r="G13" s="50">
        <f t="shared" si="1"/>
        <v>0</v>
      </c>
      <c r="H13" s="50">
        <f>COUNTIFS(Table1[Date],'Entry Sheet'!$N$3,Table1[Class],"3",Table1[Gender],"Boy",Table1[Category],"Minority")</f>
        <v>0</v>
      </c>
      <c r="I13" s="50">
        <f>COUNTIFS(Table1[Date],'Entry Sheet'!$N$3,Table1[Class],"3",Table1[Gender],"Girl",Table1[Category],"Minority")</f>
        <v>0</v>
      </c>
      <c r="J13" s="50">
        <f>SUM(H13:I13)</f>
        <v>0</v>
      </c>
      <c r="K13" s="50">
        <f>COUNTIFS(Table1[Date],'Entry Sheet'!$N$3,Table1[Class],"4",Table1[Gender],"Boy",Table1[Category],"Minority")</f>
        <v>0</v>
      </c>
      <c r="L13" s="50">
        <f>COUNTIFS(Table1[Date],'Entry Sheet'!$N$3,Table1[Class],"4",Table1[Gender],"Girl",Table1[Category],"Minority")</f>
        <v>0</v>
      </c>
      <c r="M13" s="50">
        <f t="shared" si="3"/>
        <v>0</v>
      </c>
      <c r="N13" s="50">
        <f>COUNTIFS(Table1[Date],'Entry Sheet'!$N$3,Table1[Class],"5",Table1[Gender],"Boy",Table1[Category],"Minority")</f>
        <v>0</v>
      </c>
      <c r="O13" s="50">
        <f>COUNTIFS(Table1[Date],'Entry Sheet'!$N$3,Table1[Class],"5",Table1[Gender],"Girl",Table1[Category],"Minority")</f>
        <v>0</v>
      </c>
      <c r="P13" s="50">
        <f t="shared" si="4"/>
        <v>0</v>
      </c>
      <c r="Q13" s="50">
        <f>COUNTIFS(Table1[Date],'Entry Sheet'!$N$3,Table1[Class],"6",Table1[Gender],"Boy",Table1[Category],"Minority")</f>
        <v>0</v>
      </c>
      <c r="R13" s="50">
        <f>COUNTIFS(Table1[Date],'Entry Sheet'!$N$3,Table1[Class],"6",Table1[Gender],"Girl",Table1[Category],"Minority")</f>
        <v>0</v>
      </c>
      <c r="S13" s="50">
        <f t="shared" si="5"/>
        <v>0</v>
      </c>
      <c r="T13" s="50">
        <f>COUNTIFS(Table1[Date],'Entry Sheet'!$N$3,Table1[Class],"7",Table1[Gender],"Boy",Table1[Category],"Minority")</f>
        <v>0</v>
      </c>
      <c r="U13" s="50">
        <f>COUNTIFS(Table1[Date],'Entry Sheet'!$N$3,Table1[Class],"7",Table1[Gender],"Girl",Table1[Category],"Minority")</f>
        <v>0</v>
      </c>
      <c r="V13" s="50">
        <f t="shared" si="6"/>
        <v>0</v>
      </c>
      <c r="W13" s="50">
        <f>COUNTIFS(Table1[Date],'Entry Sheet'!$N$3,Table1[Class],"8",Table1[Gender],"Boy",Table1[Category],"Minority")</f>
        <v>0</v>
      </c>
      <c r="X13" s="50">
        <f>COUNTIFS(Table1[Date],'Entry Sheet'!$N$3,Table1[Class],"8",Table1[Gender],"Girl",Table1[Category],"Minority")</f>
        <v>0</v>
      </c>
      <c r="Y13" s="50">
        <f t="shared" si="7"/>
        <v>0</v>
      </c>
      <c r="Z13" s="50">
        <f>COUNTIFS(Table1[Date],'Entry Sheet'!$N$3,Table1[Class],"9",Table1[Gender],"Boy",Table1[Category],"Minority")</f>
        <v>0</v>
      </c>
      <c r="AA13" s="50">
        <f>COUNTIFS(Table1[Date],'Entry Sheet'!$N$3,Table1[Class],"9",Table1[Gender],"Girl",Table1[Category],"Minority")</f>
        <v>0</v>
      </c>
      <c r="AB13" s="50">
        <f t="shared" si="8"/>
        <v>0</v>
      </c>
      <c r="AC13" s="50">
        <f>COUNTIFS(Table1[Date],'Entry Sheet'!$N$3,Table1[Class],"10",Table1[Gender],"Boy",Table1[Category],"Minority")</f>
        <v>0</v>
      </c>
      <c r="AD13" s="50">
        <f>COUNTIFS(Table1[Date],'Entry Sheet'!$N$3,Table1[Class],"10",Table1[Gender],"Girl",Table1[Category],"Minority")</f>
        <v>0</v>
      </c>
      <c r="AE13" s="50">
        <f t="shared" si="9"/>
        <v>0</v>
      </c>
      <c r="AF13" s="50">
        <f>COUNTIFS(Table1[Date],'Entry Sheet'!$N$3,Table1[Class],"11",Table1[Gender],"Boy",Table1[Category],"Minority")</f>
        <v>0</v>
      </c>
      <c r="AG13" s="50">
        <f>COUNTIFS(Table1[Date],'Entry Sheet'!$N$3,Table1[Class],"11",Table1[Gender],"Girl",Table1[Category],"Minority")</f>
        <v>0</v>
      </c>
      <c r="AH13" s="50">
        <f t="shared" si="10"/>
        <v>0</v>
      </c>
      <c r="AI13" s="50">
        <f>COUNTIFS(Table1[Date],'Entry Sheet'!$N$3,Table1[Class],"12",Table1[Gender],"Boy",Table1[Category],"Minority")</f>
        <v>0</v>
      </c>
      <c r="AJ13" s="50">
        <f>COUNTIFS(Table1[Date],'Entry Sheet'!$N$3,Table1[Class],"12",Table1[Gender],"Girl",Table1[Category],"Minority")</f>
        <v>0</v>
      </c>
      <c r="AK13" s="50">
        <f t="shared" si="11"/>
        <v>0</v>
      </c>
      <c r="AL13" s="48">
        <f t="shared" si="12"/>
        <v>0</v>
      </c>
      <c r="AM13" s="48">
        <f t="shared" si="13"/>
        <v>0</v>
      </c>
      <c r="AN13" s="48">
        <f t="shared" si="14"/>
        <v>0</v>
      </c>
    </row>
    <row r="14" spans="1:40" ht="2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0" ht="21" customHeight="1">
      <c r="B15" s="2"/>
      <c r="C15" s="2"/>
      <c r="D15" s="2"/>
      <c r="E15" s="2"/>
      <c r="F15" s="2"/>
      <c r="G15" s="2"/>
      <c r="H15" s="2"/>
      <c r="I15" s="2"/>
      <c r="J15" s="2"/>
      <c r="K15" s="85" t="s">
        <v>32</v>
      </c>
      <c r="L15" s="85"/>
      <c r="M15" s="85"/>
      <c r="N15" s="85"/>
      <c r="O15" s="85"/>
      <c r="P15" s="85"/>
      <c r="Q15" s="85"/>
      <c r="R15" s="85"/>
      <c r="S15" s="85"/>
      <c r="T15" s="83">
        <v>44013</v>
      </c>
      <c r="U15" s="83"/>
      <c r="V15" s="83"/>
      <c r="W15" s="83"/>
      <c r="X15" s="79" t="s">
        <v>50</v>
      </c>
      <c r="Y15" s="79"/>
      <c r="Z15" s="79"/>
      <c r="AA15" s="79"/>
      <c r="AB15" s="79"/>
      <c r="AC15" s="83">
        <v>44070</v>
      </c>
      <c r="AD15" s="83"/>
      <c r="AE15" s="83"/>
      <c r="AF15" s="83"/>
      <c r="AG15" s="80" t="s">
        <v>33</v>
      </c>
      <c r="AH15" s="80"/>
      <c r="AI15" s="80"/>
      <c r="AJ15" s="80"/>
      <c r="AK15" s="80"/>
      <c r="AL15" s="80"/>
      <c r="AM15" s="80"/>
      <c r="AN15" s="80"/>
    </row>
    <row r="16" spans="1:40" ht="21" customHeight="1">
      <c r="B16" s="2"/>
      <c r="C16" s="2"/>
      <c r="D16" s="2"/>
      <c r="E16" s="2"/>
      <c r="F16" s="2"/>
      <c r="G16" s="2"/>
      <c r="H16" s="2"/>
      <c r="I16" s="2"/>
      <c r="J16" s="2"/>
      <c r="K16" s="85"/>
      <c r="L16" s="85"/>
      <c r="M16" s="85"/>
      <c r="N16" s="85"/>
      <c r="O16" s="85"/>
      <c r="P16" s="85"/>
      <c r="Q16" s="85"/>
      <c r="R16" s="85"/>
      <c r="S16" s="85"/>
      <c r="T16" s="83"/>
      <c r="U16" s="83"/>
      <c r="V16" s="83"/>
      <c r="W16" s="83"/>
      <c r="X16" s="79"/>
      <c r="Y16" s="79"/>
      <c r="Z16" s="79"/>
      <c r="AA16" s="79"/>
      <c r="AB16" s="79"/>
      <c r="AC16" s="83"/>
      <c r="AD16" s="83"/>
      <c r="AE16" s="83"/>
      <c r="AF16" s="83"/>
      <c r="AG16" s="80"/>
      <c r="AH16" s="80"/>
      <c r="AI16" s="80"/>
      <c r="AJ16" s="80"/>
      <c r="AK16" s="80"/>
      <c r="AL16" s="80"/>
      <c r="AM16" s="80"/>
      <c r="AN16" s="80"/>
    </row>
    <row r="17" spans="1:40">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1:40" ht="18">
      <c r="A18" s="76" t="s">
        <v>35</v>
      </c>
      <c r="B18" s="71" t="s">
        <v>19</v>
      </c>
      <c r="C18" s="71"/>
      <c r="D18" s="72"/>
      <c r="E18" s="73" t="s">
        <v>20</v>
      </c>
      <c r="F18" s="74"/>
      <c r="G18" s="75"/>
      <c r="H18" s="70" t="s">
        <v>21</v>
      </c>
      <c r="I18" s="71"/>
      <c r="J18" s="72"/>
      <c r="K18" s="73" t="s">
        <v>22</v>
      </c>
      <c r="L18" s="74"/>
      <c r="M18" s="75"/>
      <c r="N18" s="70" t="s">
        <v>23</v>
      </c>
      <c r="O18" s="71"/>
      <c r="P18" s="72"/>
      <c r="Q18" s="73" t="s">
        <v>24</v>
      </c>
      <c r="R18" s="74"/>
      <c r="S18" s="75"/>
      <c r="T18" s="70" t="s">
        <v>25</v>
      </c>
      <c r="U18" s="71"/>
      <c r="V18" s="72"/>
      <c r="W18" s="73" t="s">
        <v>26</v>
      </c>
      <c r="X18" s="74"/>
      <c r="Y18" s="75"/>
      <c r="Z18" s="70" t="s">
        <v>27</v>
      </c>
      <c r="AA18" s="71"/>
      <c r="AB18" s="72"/>
      <c r="AC18" s="73" t="s">
        <v>28</v>
      </c>
      <c r="AD18" s="74"/>
      <c r="AE18" s="75"/>
      <c r="AF18" s="70" t="s">
        <v>29</v>
      </c>
      <c r="AG18" s="71"/>
      <c r="AH18" s="72"/>
      <c r="AI18" s="73" t="s">
        <v>30</v>
      </c>
      <c r="AJ18" s="74"/>
      <c r="AK18" s="75"/>
      <c r="AL18" s="70" t="s">
        <v>31</v>
      </c>
      <c r="AM18" s="71"/>
      <c r="AN18" s="72"/>
    </row>
    <row r="19" spans="1:40" ht="18">
      <c r="A19" s="77"/>
      <c r="B19" s="46" t="s">
        <v>12</v>
      </c>
      <c r="C19" s="47" t="s">
        <v>13</v>
      </c>
      <c r="D19" s="51" t="s">
        <v>14</v>
      </c>
      <c r="E19" s="46" t="s">
        <v>12</v>
      </c>
      <c r="F19" s="47" t="s">
        <v>13</v>
      </c>
      <c r="G19" s="51" t="s">
        <v>14</v>
      </c>
      <c r="H19" s="46" t="s">
        <v>12</v>
      </c>
      <c r="I19" s="47" t="s">
        <v>13</v>
      </c>
      <c r="J19" s="51" t="s">
        <v>14</v>
      </c>
      <c r="K19" s="46" t="s">
        <v>12</v>
      </c>
      <c r="L19" s="47" t="s">
        <v>13</v>
      </c>
      <c r="M19" s="51" t="s">
        <v>14</v>
      </c>
      <c r="N19" s="46" t="s">
        <v>12</v>
      </c>
      <c r="O19" s="47" t="s">
        <v>13</v>
      </c>
      <c r="P19" s="51" t="s">
        <v>14</v>
      </c>
      <c r="Q19" s="46" t="s">
        <v>12</v>
      </c>
      <c r="R19" s="47" t="s">
        <v>13</v>
      </c>
      <c r="S19" s="51" t="s">
        <v>14</v>
      </c>
      <c r="T19" s="46" t="s">
        <v>12</v>
      </c>
      <c r="U19" s="47" t="s">
        <v>13</v>
      </c>
      <c r="V19" s="51" t="s">
        <v>14</v>
      </c>
      <c r="W19" s="46" t="s">
        <v>12</v>
      </c>
      <c r="X19" s="47" t="s">
        <v>13</v>
      </c>
      <c r="Y19" s="51" t="s">
        <v>14</v>
      </c>
      <c r="Z19" s="46" t="s">
        <v>12</v>
      </c>
      <c r="AA19" s="47" t="s">
        <v>13</v>
      </c>
      <c r="AB19" s="51" t="s">
        <v>14</v>
      </c>
      <c r="AC19" s="46" t="s">
        <v>12</v>
      </c>
      <c r="AD19" s="47" t="s">
        <v>13</v>
      </c>
      <c r="AE19" s="51" t="s">
        <v>14</v>
      </c>
      <c r="AF19" s="46" t="s">
        <v>12</v>
      </c>
      <c r="AG19" s="47" t="s">
        <v>13</v>
      </c>
      <c r="AH19" s="51" t="s">
        <v>14</v>
      </c>
      <c r="AI19" s="46" t="s">
        <v>12</v>
      </c>
      <c r="AJ19" s="47" t="s">
        <v>13</v>
      </c>
      <c r="AK19" s="51" t="s">
        <v>14</v>
      </c>
      <c r="AL19" s="46" t="s">
        <v>12</v>
      </c>
      <c r="AM19" s="47" t="s">
        <v>13</v>
      </c>
      <c r="AN19" s="51" t="s">
        <v>14</v>
      </c>
    </row>
    <row r="20" spans="1:40" ht="25">
      <c r="A20" s="78"/>
      <c r="B20" s="52">
        <f>COUNTIFS(Table1[Date],"&gt;="&amp;'Report Section'!$T$15,Table1[Date],"&lt;="&amp;'Report Section'!$AC$15,Table1[Class],"1",Table1[Gender],"Boy")</f>
        <v>0</v>
      </c>
      <c r="C20" s="52">
        <f>COUNTIFS(Table1[Date],"&gt;="&amp;'Report Section'!$T$15,Table1[Date],"&lt;="&amp;'Report Section'!$AC$15,Table1[Class],"1",Table1[Gender],"Girl")</f>
        <v>0</v>
      </c>
      <c r="D20" s="52">
        <f>SUM(B20:C20)</f>
        <v>0</v>
      </c>
      <c r="E20" s="52">
        <f>COUNTIFS(Table1[Date],"&gt;="&amp;'Report Section'!$T$15,Table1[Date],"&lt;="&amp;'Report Section'!$AC$15,Table1[Class],"2",Table1[Gender],"Boy")</f>
        <v>0</v>
      </c>
      <c r="F20" s="52">
        <f>COUNTIFS(Table1[Date],"&gt;="&amp;'Report Section'!$T$15,Table1[Date],"&lt;="&amp;'Report Section'!$AC$15,Table1[Class],"2",Table1[Gender],"Girl")</f>
        <v>0</v>
      </c>
      <c r="G20" s="52">
        <f>SUM(E20:F20)</f>
        <v>0</v>
      </c>
      <c r="H20" s="52">
        <f>COUNTIFS(Table1[Date],"&gt;="&amp;'Report Section'!$T$15,Table1[Date],"&lt;="&amp;'Report Section'!$AC$15,Table1[Class],"3",Table1[Gender],"Boy")</f>
        <v>0</v>
      </c>
      <c r="I20" s="52">
        <f>COUNTIFS(Table1[Date],"&gt;="&amp;'Report Section'!$T$15,Table1[Date],"&lt;="&amp;'Report Section'!$AC$15,Table1[Class],"3",Table1[Gender],"Girl")</f>
        <v>0</v>
      </c>
      <c r="J20" s="52">
        <f>SUM(H20:I20)</f>
        <v>0</v>
      </c>
      <c r="K20" s="52">
        <f>COUNTIFS(Table1[Date],"&gt;="&amp;'Report Section'!$T$15,Table1[Date],"&lt;="&amp;'Report Section'!$AC$15,Table1[Class],"4",Table1[Gender],"Boy")</f>
        <v>0</v>
      </c>
      <c r="L20" s="52">
        <f>COUNTIFS(Table1[Date],"&gt;="&amp;'Report Section'!$T$15,Table1[Date],"&lt;="&amp;'Report Section'!$AC$15,Table1[Class],"4",Table1[Gender],"Girl")</f>
        <v>0</v>
      </c>
      <c r="M20" s="52">
        <f>SUM(K20:L20)</f>
        <v>0</v>
      </c>
      <c r="N20" s="52">
        <f>COUNTIFS(Table1[Date],"&gt;="&amp;'Report Section'!$T$15,Table1[Date],"&lt;="&amp;'Report Section'!$AC$15,Table1[Class],"5",Table1[Gender],"Boy")</f>
        <v>0</v>
      </c>
      <c r="O20" s="52">
        <f>COUNTIFS(Table1[Date],"&gt;="&amp;'Report Section'!$T$15,Table1[Date],"&lt;="&amp;'Report Section'!$AC$15,Table1[Class],"5",Table1[Gender],"Girl")</f>
        <v>0</v>
      </c>
      <c r="P20" s="52">
        <f>SUM(N20:O20)</f>
        <v>0</v>
      </c>
      <c r="Q20" s="52">
        <f>COUNTIFS(Table1[Date],"&gt;="&amp;'Report Section'!$T$15,Table1[Date],"&lt;="&amp;'Report Section'!$AC$15,Table1[Class],"6",Table1[Gender],"Boy")</f>
        <v>0</v>
      </c>
      <c r="R20" s="52">
        <f>COUNTIFS(Table1[Date],"&gt;="&amp;'Report Section'!$T$15,Table1[Date],"&lt;="&amp;'Report Section'!$AC$15,Table1[Class],"6",Table1[Gender],"Girl")</f>
        <v>0</v>
      </c>
      <c r="S20" s="52">
        <f>SUM(Q20:R20)</f>
        <v>0</v>
      </c>
      <c r="T20" s="52">
        <f>COUNTIFS(Table1[Date],"&gt;="&amp;'Report Section'!$T$15,Table1[Date],"&lt;="&amp;'Report Section'!$AC$15,Table1[Class],"7",Table1[Gender],"Boy")</f>
        <v>0</v>
      </c>
      <c r="U20" s="52">
        <f>COUNTIFS(Table1[Date],"&gt;="&amp;'Report Section'!$T$15,Table1[Date],"&lt;="&amp;'Report Section'!$AC$15,Table1[Class],"7",Table1[Gender],"Girl")</f>
        <v>0</v>
      </c>
      <c r="V20" s="52">
        <f>SUM(T20:U20)</f>
        <v>0</v>
      </c>
      <c r="W20" s="52">
        <f>COUNTIFS(Table1[Date],"&gt;="&amp;'Report Section'!$T$15,Table1[Date],"&lt;="&amp;'Report Section'!$AC$15,Table1[Class],"8",Table1[Gender],"Boy")</f>
        <v>0</v>
      </c>
      <c r="X20" s="52">
        <f>COUNTIFS(Table1[Date],"&gt;="&amp;'Report Section'!$T$15,Table1[Date],"&lt;="&amp;'Report Section'!$AC$15,Table1[Class],"8",Table1[Gender],"Girl")</f>
        <v>0</v>
      </c>
      <c r="Y20" s="52">
        <f>SUM(W20:X20)</f>
        <v>0</v>
      </c>
      <c r="Z20" s="52">
        <f>COUNTIFS(Table1[Date],"&gt;="&amp;'Report Section'!$T$15,Table1[Date],"&lt;="&amp;'Report Section'!$AC$15,Table1[Class],"9",Table1[Gender],"Boy")</f>
        <v>0</v>
      </c>
      <c r="AA20" s="52">
        <f>COUNTIFS(Table1[Date],"&gt;="&amp;'Report Section'!$T$15,Table1[Date],"&lt;="&amp;'Report Section'!$AC$15,Table1[Class],"9",Table1[Gender],"Girl")</f>
        <v>0</v>
      </c>
      <c r="AB20" s="52">
        <f>SUM(Z20:AA20)</f>
        <v>0</v>
      </c>
      <c r="AC20" s="52">
        <f>COUNTIFS(Table1[Date],"&gt;="&amp;'Report Section'!$T$15,Table1[Date],"&lt;="&amp;'Report Section'!$AC$15,Table1[Class],"10",Table1[Gender],"Boy")</f>
        <v>0</v>
      </c>
      <c r="AD20" s="52">
        <f>COUNTIFS(Table1[Date],"&gt;="&amp;'Report Section'!$T$15,Table1[Date],"&lt;="&amp;'Report Section'!$AC$15,Table1[Class],"10",Table1[Gender],"Girl")</f>
        <v>0</v>
      </c>
      <c r="AE20" s="52">
        <f>SUM(AC20:AD20)</f>
        <v>0</v>
      </c>
      <c r="AF20" s="52">
        <f>COUNTIFS(Table1[Date],"&gt;="&amp;'Report Section'!$T$15,Table1[Date],"&lt;="&amp;'Report Section'!$AC$15,Table1[Class],"11",Table1[Gender],"Boy")</f>
        <v>0</v>
      </c>
      <c r="AG20" s="52">
        <f>COUNTIFS(Table1[Date],"&gt;="&amp;'Report Section'!$T$15,Table1[Date],"&lt;="&amp;'Report Section'!$AC$15,Table1[Class],"11",Table1[Gender],"Girl")</f>
        <v>0</v>
      </c>
      <c r="AH20" s="52">
        <f>SUM(AF20:AG20)</f>
        <v>0</v>
      </c>
      <c r="AI20" s="52">
        <f>COUNTIFS(Table1[Date],"&gt;="&amp;'Report Section'!$T$15,Table1[Date],"&lt;="&amp;'Report Section'!$AC$15,Table1[Class],"12",Table1[Gender],"Boy")</f>
        <v>1</v>
      </c>
      <c r="AJ20" s="52">
        <f>COUNTIFS(Table1[Date],"&gt;="&amp;'Report Section'!$T$15,Table1[Date],"&lt;="&amp;'Report Section'!$AC$15,Table1[Class],"12",Table1[Gender],"Girl")</f>
        <v>0</v>
      </c>
      <c r="AK20" s="52">
        <f>SUM(AI20:AJ20)</f>
        <v>1</v>
      </c>
      <c r="AL20" s="52">
        <f>B20+E20+H20+K20+N20+Q20+T20+W20+Z20+AC20+AF20+AI20</f>
        <v>1</v>
      </c>
      <c r="AM20" s="52">
        <f>C20+F20+I20+L20+O20+R20+U20+X20+AA20+AD20+AG20+AJ20</f>
        <v>0</v>
      </c>
      <c r="AN20" s="52">
        <f t="shared" ref="AN20:AN26" si="15">SUM(AL20:AM20)</f>
        <v>1</v>
      </c>
    </row>
    <row r="21" spans="1:40" ht="18">
      <c r="A21" s="49" t="s">
        <v>39</v>
      </c>
      <c r="B21" s="50">
        <f>COUNTIFS(Table1[Date],"&gt;="&amp;'Report Section'!$T$15,Table1[Date],"&lt;="&amp;'Report Section'!$AC$15,Table1[Class],"1",Table1[Gender],"Boy",Table1[Category],"General")</f>
        <v>0</v>
      </c>
      <c r="C21" s="50">
        <f>COUNTIFS(Table1[Date],"&gt;="&amp;'Report Section'!$T$15,Table1[Date],"&lt;="&amp;'Report Section'!$AC$15,Table1[Class],"1",Table1[Gender],"Girl",Table1[Category],"General")</f>
        <v>0</v>
      </c>
      <c r="D21" s="48">
        <f t="shared" ref="D21:D26" si="16">SUM(B21:C21)</f>
        <v>0</v>
      </c>
      <c r="E21" s="50">
        <f>COUNTIFS(Table1[Date],"&gt;="&amp;'Report Section'!$T$15,Table1[Date],"&lt;="&amp;'Report Section'!$AC$15,Table1[Class],"2",Table1[Gender],"Boy",Table1[Category],"General")</f>
        <v>0</v>
      </c>
      <c r="F21" s="50">
        <f>COUNTIFS(Table1[Date],"&gt;="&amp;'Report Section'!$T$15,Table1[Date],"&lt;="&amp;'Report Section'!$AC$15,Table1[Class],"2",Table1[Gender],"Girl",Table1[Category],"General")</f>
        <v>0</v>
      </c>
      <c r="G21" s="48">
        <f t="shared" ref="G21:G26" si="17">SUM(E21:F21)</f>
        <v>0</v>
      </c>
      <c r="H21" s="50">
        <f>COUNTIFS(Table1[Date],"&gt;="&amp;'Report Section'!$T$15,Table1[Date],"&lt;="&amp;'Report Section'!$AC$15,Table1[Class],"3",Table1[Gender],"Boy",Table1[Category],"General")</f>
        <v>0</v>
      </c>
      <c r="I21" s="50">
        <f>COUNTIFS(Table1[Date],"&gt;="&amp;'Report Section'!$T$15,Table1[Date],"&lt;="&amp;'Report Section'!$AC$15,Table1[Class],"3",Table1[Gender],"Girl",Table1[Category],"General")</f>
        <v>0</v>
      </c>
      <c r="J21" s="48">
        <f t="shared" ref="J21:J26" si="18">SUM(H21:I21)</f>
        <v>0</v>
      </c>
      <c r="K21" s="50">
        <f>COUNTIFS(Table1[Date],"&gt;="&amp;'Report Section'!$T$15,Table1[Date],"&lt;="&amp;'Report Section'!$AC$15,Table1[Class],"4",Table1[Gender],"Boy",Table1[Category],"General")</f>
        <v>0</v>
      </c>
      <c r="L21" s="50">
        <f>COUNTIFS(Table1[Date],"&gt;="&amp;'Report Section'!$T$15,Table1[Date],"&lt;="&amp;'Report Section'!$AC$15,Table1[Class],"4",Table1[Gender],"Girl",Table1[Category],"General")</f>
        <v>0</v>
      </c>
      <c r="M21" s="48">
        <f t="shared" ref="M21:M26" si="19">SUM(K21:L21)</f>
        <v>0</v>
      </c>
      <c r="N21" s="50">
        <f>COUNTIFS(Table1[Date],"&gt;="&amp;'Report Section'!$T$15,Table1[Date],"&lt;="&amp;'Report Section'!$AC$15,Table1[Class],"5",Table1[Gender],"Boy",Table1[Category],"General")</f>
        <v>0</v>
      </c>
      <c r="O21" s="50">
        <f>COUNTIFS(Table1[Date],"&gt;="&amp;'Report Section'!$T$15,Table1[Date],"&lt;="&amp;'Report Section'!$AC$15,Table1[Class],"5",Table1[Gender],"Girl",Table1[Category],"General")</f>
        <v>0</v>
      </c>
      <c r="P21" s="48">
        <f t="shared" ref="P21:P26" si="20">SUM(N21:O21)</f>
        <v>0</v>
      </c>
      <c r="Q21" s="50">
        <f>COUNTIFS(Table1[Date],"&gt;="&amp;'Report Section'!$T$15,Table1[Date],"&lt;="&amp;'Report Section'!$AC$15,Table1[Class],"6",Table1[Gender],"Boy",Table1[Category],"General")</f>
        <v>0</v>
      </c>
      <c r="R21" s="50">
        <f>COUNTIFS(Table1[Date],"&gt;="&amp;'Report Section'!$T$15,Table1[Date],"&lt;="&amp;'Report Section'!$AC$15,Table1[Class],"6",Table1[Gender],"Girl",Table1[Category],"General")</f>
        <v>0</v>
      </c>
      <c r="S21" s="48">
        <f t="shared" ref="S21:S26" si="21">SUM(Q21:R21)</f>
        <v>0</v>
      </c>
      <c r="T21" s="50">
        <f>COUNTIFS(Table1[Date],"&gt;="&amp;'Report Section'!$T$15,Table1[Date],"&lt;="&amp;'Report Section'!$AC$15,Table1[Class],"7",Table1[Gender],"Boy",Table1[Category],"General")</f>
        <v>0</v>
      </c>
      <c r="U21" s="50">
        <f>COUNTIFS(Table1[Date],"&gt;="&amp;'Report Section'!$T$15,Table1[Date],"&lt;="&amp;'Report Section'!$AC$15,Table1[Class],"7",Table1[Gender],"Girl",Table1[Category],"General")</f>
        <v>0</v>
      </c>
      <c r="V21" s="48">
        <f t="shared" ref="V21:V26" si="22">SUM(T21:U21)</f>
        <v>0</v>
      </c>
      <c r="W21" s="50">
        <f>COUNTIFS(Table1[Date],"&gt;="&amp;'Report Section'!$T$15,Table1[Date],"&lt;="&amp;'Report Section'!$AC$15,Table1[Class],"8",Table1[Gender],"Boy",Table1[Category],"General")</f>
        <v>0</v>
      </c>
      <c r="X21" s="50">
        <f>COUNTIFS(Table1[Date],"&gt;="&amp;'Report Section'!$T$15,Table1[Date],"&lt;="&amp;'Report Section'!$AC$15,Table1[Class],"8",Table1[Gender],"Girl",Table1[Category],"General")</f>
        <v>0</v>
      </c>
      <c r="Y21" s="48">
        <f t="shared" ref="Y21:Y26" si="23">SUM(W21:X21)</f>
        <v>0</v>
      </c>
      <c r="Z21" s="50">
        <f>COUNTIFS(Table1[Date],"&gt;="&amp;'Report Section'!$T$15,Table1[Date],"&lt;="&amp;'Report Section'!$AC$15,Table1[Class],"9",Table1[Gender],"Boy",Table1[Category],"General")</f>
        <v>0</v>
      </c>
      <c r="AA21" s="50">
        <f>COUNTIFS(Table1[Date],"&gt;="&amp;'Report Section'!$T$15,Table1[Date],"&lt;="&amp;'Report Section'!$AC$15,Table1[Class],"9",Table1[Gender],"Girl",Table1[Category],"General")</f>
        <v>0</v>
      </c>
      <c r="AB21" s="48">
        <f t="shared" ref="AB21:AB26" si="24">SUM(Z21:AA21)</f>
        <v>0</v>
      </c>
      <c r="AC21" s="50">
        <f>COUNTIFS(Table1[Date],"&gt;="&amp;'Report Section'!$T$15,Table1[Date],"&lt;="&amp;'Report Section'!$AC$15,Table1[Class],"10",Table1[Gender],"Boy",Table1[Category],"General")</f>
        <v>0</v>
      </c>
      <c r="AD21" s="50">
        <f>COUNTIFS(Table1[Date],"&gt;="&amp;'Report Section'!$T$15,Table1[Date],"&lt;="&amp;'Report Section'!$AC$15,Table1[Class],"10",Table1[Gender],"Girl",Table1[Category],"General")</f>
        <v>0</v>
      </c>
      <c r="AE21" s="48">
        <f t="shared" ref="AE21:AE26" si="25">SUM(AC21:AD21)</f>
        <v>0</v>
      </c>
      <c r="AF21" s="50">
        <f>COUNTIFS(Table1[Date],"&gt;="&amp;'Report Section'!$T$15,Table1[Date],"&lt;="&amp;'Report Section'!$AC$15,Table1[Class],"11",Table1[Gender],"Boy",Table1[Category],"General")</f>
        <v>0</v>
      </c>
      <c r="AG21" s="50">
        <f>COUNTIFS(Table1[Date],"&gt;="&amp;'Report Section'!$T$15,Table1[Date],"&lt;="&amp;'Report Section'!$AC$15,Table1[Class],"11",Table1[Gender],"Girl",Table1[Category],"General")</f>
        <v>0</v>
      </c>
      <c r="AH21" s="48">
        <f t="shared" ref="AH21:AH26" si="26">SUM(AF21:AG21)</f>
        <v>0</v>
      </c>
      <c r="AI21" s="50">
        <f>COUNTIFS(Table1[Date],"&gt;="&amp;'Report Section'!$T$15,Table1[Date],"&lt;="&amp;'Report Section'!$AC$15,Table1[Class],"12",Table1[Gender],"Boy",Table1[Category],"General")</f>
        <v>1</v>
      </c>
      <c r="AJ21" s="50">
        <f>COUNTIFS(Table1[Date],"&gt;="&amp;'Report Section'!$T$15,Table1[Date],"&lt;="&amp;'Report Section'!$AC$15,Table1[Class],"12",Table1[Gender],"Girl",Table1[Category],"General")</f>
        <v>0</v>
      </c>
      <c r="AK21" s="48">
        <f t="shared" ref="AK21:AK26" si="27">SUM(AI21:AJ21)</f>
        <v>1</v>
      </c>
      <c r="AL21" s="48">
        <f t="shared" ref="AL21:AL26" si="28">B21+E21+H21+K21+N21+Q21+T21+W21+Z21+AC21+AF21+AI21</f>
        <v>1</v>
      </c>
      <c r="AM21" s="48">
        <f t="shared" ref="AM21:AM26" si="29">C21+F21+I21+L21+O21+R21+U21+X21+AA21+AD21+AG21+AJ21</f>
        <v>0</v>
      </c>
      <c r="AN21" s="48">
        <f t="shared" si="15"/>
        <v>1</v>
      </c>
    </row>
    <row r="22" spans="1:40" ht="18">
      <c r="A22" s="49" t="s">
        <v>40</v>
      </c>
      <c r="B22" s="50">
        <f>COUNTIFS(Table1[Date],"&gt;="&amp;'Report Section'!$T$15,Table1[Date],"&lt;="&amp;'Report Section'!$AC$15,Table1[Class],"1",Table1[Gender],"Boy",Table1[Category],"SC")</f>
        <v>0</v>
      </c>
      <c r="C22" s="50">
        <f>COUNTIFS(Table1[Date],"&gt;="&amp;'Report Section'!$T$15,Table1[Date],"&lt;="&amp;'Report Section'!$AC$15,Table1[Class],"1",Table1[Gender],"Girl",Table1[Category],"SC")</f>
        <v>0</v>
      </c>
      <c r="D22" s="48">
        <f t="shared" si="16"/>
        <v>0</v>
      </c>
      <c r="E22" s="50">
        <f>COUNTIFS(Table1[Date],"&gt;="&amp;'Report Section'!$T$15,Table1[Date],"&lt;="&amp;'Report Section'!$AC$15,Table1[Class],"2",Table1[Gender],"Boy",Table1[Category],"SC")</f>
        <v>0</v>
      </c>
      <c r="F22" s="50">
        <f>COUNTIFS(Table1[Date],"&gt;="&amp;'Report Section'!$T$15,Table1[Date],"&lt;="&amp;'Report Section'!$AC$15,Table1[Class],"2",Table1[Gender],"Girl",Table1[Category],"SC")</f>
        <v>0</v>
      </c>
      <c r="G22" s="48">
        <f t="shared" si="17"/>
        <v>0</v>
      </c>
      <c r="H22" s="50">
        <f>COUNTIFS(Table1[Date],"&gt;="&amp;'Report Section'!$T$15,Table1[Date],"&lt;="&amp;'Report Section'!$AC$15,Table1[Class],"3",Table1[Gender],"Boy",Table1[Category],"SC")</f>
        <v>0</v>
      </c>
      <c r="I22" s="50">
        <f>COUNTIFS(Table1[Date],"&gt;="&amp;'Report Section'!$T$15,Table1[Date],"&lt;="&amp;'Report Section'!$AC$15,Table1[Class],"3",Table1[Gender],"Girl",Table1[Category],"SC")</f>
        <v>0</v>
      </c>
      <c r="J22" s="48">
        <f t="shared" si="18"/>
        <v>0</v>
      </c>
      <c r="K22" s="50">
        <f>COUNTIFS(Table1[Date],"&gt;="&amp;'Report Section'!$T$15,Table1[Date],"&lt;="&amp;'Report Section'!$AC$15,Table1[Class],"4",Table1[Gender],"Boy",Table1[Category],"SC")</f>
        <v>0</v>
      </c>
      <c r="L22" s="50">
        <f>COUNTIFS(Table1[Date],"&gt;="&amp;'Report Section'!$T$15,Table1[Date],"&lt;="&amp;'Report Section'!$AC$15,Table1[Class],"4",Table1[Gender],"Girl",Table1[Category],"SC")</f>
        <v>0</v>
      </c>
      <c r="M22" s="48">
        <f t="shared" si="19"/>
        <v>0</v>
      </c>
      <c r="N22" s="50">
        <f>COUNTIFS(Table1[Date],"&gt;="&amp;'Report Section'!$T$15,Table1[Date],"&lt;="&amp;'Report Section'!$AC$15,Table1[Class],"5",Table1[Gender],"Boy",Table1[Category],"SC")</f>
        <v>0</v>
      </c>
      <c r="O22" s="50">
        <f>COUNTIFS(Table1[Date],"&gt;="&amp;'Report Section'!$T$15,Table1[Date],"&lt;="&amp;'Report Section'!$AC$15,Table1[Class],"5",Table1[Gender],"Girl",Table1[Category],"SC")</f>
        <v>0</v>
      </c>
      <c r="P22" s="48">
        <f t="shared" si="20"/>
        <v>0</v>
      </c>
      <c r="Q22" s="50">
        <f>COUNTIFS(Table1[Date],"&gt;="&amp;'Report Section'!$T$15,Table1[Date],"&lt;="&amp;'Report Section'!$AC$15,Table1[Class],"6",Table1[Gender],"Boy",Table1[Category],"SC")</f>
        <v>0</v>
      </c>
      <c r="R22" s="50">
        <f>COUNTIFS(Table1[Date],"&gt;="&amp;'Report Section'!$T$15,Table1[Date],"&lt;="&amp;'Report Section'!$AC$15,Table1[Class],"6",Table1[Gender],"Girl",Table1[Category],"SC")</f>
        <v>0</v>
      </c>
      <c r="S22" s="48">
        <f t="shared" si="21"/>
        <v>0</v>
      </c>
      <c r="T22" s="50">
        <f>COUNTIFS(Table1[Date],"&gt;="&amp;'Report Section'!$T$15,Table1[Date],"&lt;="&amp;'Report Section'!$AC$15,Table1[Class],"7",Table1[Gender],"Boy",Table1[Category],"SC")</f>
        <v>0</v>
      </c>
      <c r="U22" s="50">
        <f>COUNTIFS(Table1[Date],"&gt;="&amp;'Report Section'!$T$15,Table1[Date],"&lt;="&amp;'Report Section'!$AC$15,Table1[Class],"7",Table1[Gender],"Girl",Table1[Category],"SC")</f>
        <v>0</v>
      </c>
      <c r="V22" s="48">
        <f t="shared" si="22"/>
        <v>0</v>
      </c>
      <c r="W22" s="50">
        <f>COUNTIFS(Table1[Date],"&gt;="&amp;'Report Section'!$T$15,Table1[Date],"&lt;="&amp;'Report Section'!$AC$15,Table1[Class],"8",Table1[Gender],"Boy",Table1[Category],"SC")</f>
        <v>0</v>
      </c>
      <c r="X22" s="50">
        <f>COUNTIFS(Table1[Date],"&gt;="&amp;'Report Section'!$T$15,Table1[Date],"&lt;="&amp;'Report Section'!$AC$15,Table1[Class],"8",Table1[Gender],"Girl",Table1[Category],"SC")</f>
        <v>0</v>
      </c>
      <c r="Y22" s="48">
        <f t="shared" si="23"/>
        <v>0</v>
      </c>
      <c r="Z22" s="50">
        <f>COUNTIFS(Table1[Date],"&gt;="&amp;'Report Section'!$T$15,Table1[Date],"&lt;="&amp;'Report Section'!$AC$15,Table1[Class],"9",Table1[Gender],"Boy",Table1[Category],"SC")</f>
        <v>0</v>
      </c>
      <c r="AA22" s="50">
        <f>COUNTIFS(Table1[Date],"&gt;="&amp;'Report Section'!$T$15,Table1[Date],"&lt;="&amp;'Report Section'!$AC$15,Table1[Class],"9",Table1[Gender],"Girl",Table1[Category],"SC")</f>
        <v>0</v>
      </c>
      <c r="AB22" s="48">
        <f t="shared" si="24"/>
        <v>0</v>
      </c>
      <c r="AC22" s="50">
        <f>COUNTIFS(Table1[Date],"&gt;="&amp;'Report Section'!$T$15,Table1[Date],"&lt;="&amp;'Report Section'!$AC$15,Table1[Class],"10",Table1[Gender],"Boy",Table1[Category],"SC")</f>
        <v>0</v>
      </c>
      <c r="AD22" s="50">
        <f>COUNTIFS(Table1[Date],"&gt;="&amp;'Report Section'!$T$15,Table1[Date],"&lt;="&amp;'Report Section'!$AC$15,Table1[Class],"10",Table1[Gender],"Girl",Table1[Category],"SC")</f>
        <v>0</v>
      </c>
      <c r="AE22" s="48">
        <f t="shared" si="25"/>
        <v>0</v>
      </c>
      <c r="AF22" s="50">
        <f>COUNTIFS(Table1[Date],"&gt;="&amp;'Report Section'!$T$15,Table1[Date],"&lt;="&amp;'Report Section'!$AC$15,Table1[Class],"11",Table1[Gender],"Boy",Table1[Category],"SC")</f>
        <v>0</v>
      </c>
      <c r="AG22" s="50">
        <f>COUNTIFS(Table1[Date],"&gt;="&amp;'Report Section'!$T$15,Table1[Date],"&lt;="&amp;'Report Section'!$AC$15,Table1[Class],"11",Table1[Gender],"Girl",Table1[Category],"SC")</f>
        <v>0</v>
      </c>
      <c r="AH22" s="48">
        <f t="shared" si="26"/>
        <v>0</v>
      </c>
      <c r="AI22" s="50">
        <f>COUNTIFS(Table1[Date],"&gt;="&amp;'Report Section'!$T$15,Table1[Date],"&lt;="&amp;'Report Section'!$AC$15,Table1[Class],"12",Table1[Gender],"Boy",Table1[Category],"SC")</f>
        <v>0</v>
      </c>
      <c r="AJ22" s="50">
        <f>COUNTIFS(Table1[Date],"&gt;="&amp;'Report Section'!$T$15,Table1[Date],"&lt;="&amp;'Report Section'!$AC$15,Table1[Class],"12",Table1[Gender],"Girl",Table1[Category],"SC")</f>
        <v>0</v>
      </c>
      <c r="AK22" s="48">
        <f t="shared" si="27"/>
        <v>0</v>
      </c>
      <c r="AL22" s="48">
        <f t="shared" si="28"/>
        <v>0</v>
      </c>
      <c r="AM22" s="48">
        <f t="shared" si="29"/>
        <v>0</v>
      </c>
      <c r="AN22" s="48">
        <f t="shared" si="15"/>
        <v>0</v>
      </c>
    </row>
    <row r="23" spans="1:40" ht="18">
      <c r="A23" s="49" t="s">
        <v>41</v>
      </c>
      <c r="B23" s="50">
        <f>COUNTIFS(Table1[Date],"&gt;="&amp;'Report Section'!$T$15,Table1[Date],"&lt;="&amp;'Report Section'!$AC$15,Table1[Class],"1",Table1[Gender],"Boy",Table1[Category],"ST")</f>
        <v>0</v>
      </c>
      <c r="C23" s="50">
        <f>COUNTIFS(Table1[Date],"&gt;="&amp;'Report Section'!$T$15,Table1[Date],"&lt;="&amp;'Report Section'!$AC$15,Table1[Class],"1",Table1[Gender],"Girl",Table1[Category],"ST")</f>
        <v>0</v>
      </c>
      <c r="D23" s="48">
        <f t="shared" si="16"/>
        <v>0</v>
      </c>
      <c r="E23" s="50">
        <f>COUNTIFS(Table1[Date],"&gt;="&amp;'Report Section'!$T$15,Table1[Date],"&lt;="&amp;'Report Section'!$AC$15,Table1[Class],"2",Table1[Gender],"Boy",Table1[Category],"ST")</f>
        <v>0</v>
      </c>
      <c r="F23" s="50">
        <f>COUNTIFS(Table1[Date],"&gt;="&amp;'Report Section'!$T$15,Table1[Date],"&lt;="&amp;'Report Section'!$AC$15,Table1[Class],"2",Table1[Gender],"Girl",Table1[Category],"ST")</f>
        <v>0</v>
      </c>
      <c r="G23" s="48">
        <f t="shared" si="17"/>
        <v>0</v>
      </c>
      <c r="H23" s="50">
        <f>COUNTIFS(Table1[Date],"&gt;="&amp;'Report Section'!$T$15,Table1[Date],"&lt;="&amp;'Report Section'!$AC$15,Table1[Class],"3",Table1[Gender],"Boy",Table1[Category],"ST")</f>
        <v>0</v>
      </c>
      <c r="I23" s="50">
        <f>COUNTIFS(Table1[Date],"&gt;="&amp;'Report Section'!$T$15,Table1[Date],"&lt;="&amp;'Report Section'!$AC$15,Table1[Class],"3",Table1[Gender],"Girl",Table1[Category],"ST")</f>
        <v>0</v>
      </c>
      <c r="J23" s="48">
        <f t="shared" si="18"/>
        <v>0</v>
      </c>
      <c r="K23" s="50">
        <f>COUNTIFS(Table1[Date],"&gt;="&amp;'Report Section'!$T$15,Table1[Date],"&lt;="&amp;'Report Section'!$AC$15,Table1[Class],"4",Table1[Gender],"Boy",Table1[Category],"ST")</f>
        <v>0</v>
      </c>
      <c r="L23" s="50">
        <f>COUNTIFS(Table1[Date],"&gt;="&amp;'Report Section'!$T$15,Table1[Date],"&lt;="&amp;'Report Section'!$AC$15,Table1[Class],"4",Table1[Gender],"Girl",Table1[Category],"ST")</f>
        <v>0</v>
      </c>
      <c r="M23" s="48">
        <f t="shared" si="19"/>
        <v>0</v>
      </c>
      <c r="N23" s="50">
        <f>COUNTIFS(Table1[Date],"&gt;="&amp;'Report Section'!$T$15,Table1[Date],"&lt;="&amp;'Report Section'!$AC$15,Table1[Class],"5",Table1[Gender],"Boy",Table1[Category],"ST")</f>
        <v>0</v>
      </c>
      <c r="O23" s="50">
        <f>COUNTIFS(Table1[Date],"&gt;="&amp;'Report Section'!$T$15,Table1[Date],"&lt;="&amp;'Report Section'!$AC$15,Table1[Class],"5",Table1[Gender],"Girl",Table1[Category],"ST")</f>
        <v>0</v>
      </c>
      <c r="P23" s="48">
        <f t="shared" si="20"/>
        <v>0</v>
      </c>
      <c r="Q23" s="50">
        <f>COUNTIFS(Table1[Date],"&gt;="&amp;'Report Section'!$T$15,Table1[Date],"&lt;="&amp;'Report Section'!$AC$15,Table1[Class],"6",Table1[Gender],"Boy",Table1[Category],"ST")</f>
        <v>0</v>
      </c>
      <c r="R23" s="50">
        <f>COUNTIFS(Table1[Date],"&gt;="&amp;'Report Section'!$T$15,Table1[Date],"&lt;="&amp;'Report Section'!$AC$15,Table1[Class],"6",Table1[Gender],"Girl",Table1[Category],"ST")</f>
        <v>0</v>
      </c>
      <c r="S23" s="48">
        <f t="shared" si="21"/>
        <v>0</v>
      </c>
      <c r="T23" s="50">
        <f>COUNTIFS(Table1[Date],"&gt;="&amp;'Report Section'!$T$15,Table1[Date],"&lt;="&amp;'Report Section'!$AC$15,Table1[Class],"7",Table1[Gender],"Boy",Table1[Category],"ST")</f>
        <v>0</v>
      </c>
      <c r="U23" s="50">
        <f>COUNTIFS(Table1[Date],"&gt;="&amp;'Report Section'!$T$15,Table1[Date],"&lt;="&amp;'Report Section'!$AC$15,Table1[Class],"7",Table1[Gender],"Girl",Table1[Category],"ST")</f>
        <v>0</v>
      </c>
      <c r="V23" s="48">
        <f t="shared" si="22"/>
        <v>0</v>
      </c>
      <c r="W23" s="50">
        <f>COUNTIFS(Table1[Date],"&gt;="&amp;'Report Section'!$T$15,Table1[Date],"&lt;="&amp;'Report Section'!$AC$15,Table1[Class],"8",Table1[Gender],"Boy",Table1[Category],"ST")</f>
        <v>0</v>
      </c>
      <c r="X23" s="50">
        <f>COUNTIFS(Table1[Date],"&gt;="&amp;'Report Section'!$T$15,Table1[Date],"&lt;="&amp;'Report Section'!$AC$15,Table1[Class],"8",Table1[Gender],"Girl",Table1[Category],"ST")</f>
        <v>0</v>
      </c>
      <c r="Y23" s="48">
        <f t="shared" si="23"/>
        <v>0</v>
      </c>
      <c r="Z23" s="50">
        <f>COUNTIFS(Table1[Date],"&gt;="&amp;'Report Section'!$T$15,Table1[Date],"&lt;="&amp;'Report Section'!$AC$15,Table1[Class],"9",Table1[Gender],"Boy",Table1[Category],"ST")</f>
        <v>0</v>
      </c>
      <c r="AA23" s="50">
        <f>COUNTIFS(Table1[Date],"&gt;="&amp;'Report Section'!$T$15,Table1[Date],"&lt;="&amp;'Report Section'!$AC$15,Table1[Class],"9",Table1[Gender],"Girl",Table1[Category],"ST")</f>
        <v>0</v>
      </c>
      <c r="AB23" s="48">
        <f t="shared" si="24"/>
        <v>0</v>
      </c>
      <c r="AC23" s="50">
        <f>COUNTIFS(Table1[Date],"&gt;="&amp;'Report Section'!$T$15,Table1[Date],"&lt;="&amp;'Report Section'!$AC$15,Table1[Class],"10",Table1[Gender],"Boy",Table1[Category],"ST")</f>
        <v>0</v>
      </c>
      <c r="AD23" s="50">
        <f>COUNTIFS(Table1[Date],"&gt;="&amp;'Report Section'!$T$15,Table1[Date],"&lt;="&amp;'Report Section'!$AC$15,Table1[Class],"10",Table1[Gender],"Girl",Table1[Category],"ST")</f>
        <v>0</v>
      </c>
      <c r="AE23" s="48">
        <f t="shared" si="25"/>
        <v>0</v>
      </c>
      <c r="AF23" s="50">
        <f>COUNTIFS(Table1[Date],"&gt;="&amp;'Report Section'!$T$15,Table1[Date],"&lt;="&amp;'Report Section'!$AC$15,Table1[Class],"11",Table1[Gender],"Boy",Table1[Category],"ST")</f>
        <v>0</v>
      </c>
      <c r="AG23" s="50">
        <f>COUNTIFS(Table1[Date],"&gt;="&amp;'Report Section'!$T$15,Table1[Date],"&lt;="&amp;'Report Section'!$AC$15,Table1[Class],"11",Table1[Gender],"Girl",Table1[Category],"ST")</f>
        <v>0</v>
      </c>
      <c r="AH23" s="48">
        <f t="shared" si="26"/>
        <v>0</v>
      </c>
      <c r="AI23" s="50">
        <f>COUNTIFS(Table1[Date],"&gt;="&amp;'Report Section'!$T$15,Table1[Date],"&lt;="&amp;'Report Section'!$AC$15,Table1[Class],"12",Table1[Gender],"Boy",Table1[Category],"ST")</f>
        <v>0</v>
      </c>
      <c r="AJ23" s="50">
        <f>COUNTIFS(Table1[Date],"&gt;="&amp;'Report Section'!$T$15,Table1[Date],"&lt;="&amp;'Report Section'!$AC$15,Table1[Class],"12",Table1[Gender],"Girl",Table1[Category],"ST")</f>
        <v>0</v>
      </c>
      <c r="AK23" s="48">
        <f t="shared" si="27"/>
        <v>0</v>
      </c>
      <c r="AL23" s="48">
        <f t="shared" si="28"/>
        <v>0</v>
      </c>
      <c r="AM23" s="48">
        <f t="shared" si="29"/>
        <v>0</v>
      </c>
      <c r="AN23" s="48">
        <f t="shared" si="15"/>
        <v>0</v>
      </c>
    </row>
    <row r="24" spans="1:40" ht="18">
      <c r="A24" s="49" t="s">
        <v>38</v>
      </c>
      <c r="B24" s="50">
        <f>COUNTIFS(Table1[Date],"&gt;="&amp;'Report Section'!$T$15,Table1[Date],"&lt;="&amp;'Report Section'!$AC$15,Table1[Class],"1",Table1[Gender],"Boy",Table1[Category],"OBC")</f>
        <v>0</v>
      </c>
      <c r="C24" s="50">
        <f>COUNTIFS(Table1[Date],"&gt;="&amp;'Report Section'!$T$15,Table1[Date],"&lt;="&amp;'Report Section'!$AC$15,Table1[Class],"1",Table1[Gender],"Girl",Table1[Category],"OBC")</f>
        <v>0</v>
      </c>
      <c r="D24" s="48">
        <f t="shared" si="16"/>
        <v>0</v>
      </c>
      <c r="E24" s="50">
        <f>COUNTIFS(Table1[Date],"&gt;="&amp;'Report Section'!$T$15,Table1[Date],"&lt;="&amp;'Report Section'!$AC$15,Table1[Class],"2",Table1[Gender],"Boy",Table1[Category],"OBC")</f>
        <v>0</v>
      </c>
      <c r="F24" s="50">
        <f>COUNTIFS(Table1[Date],"&gt;="&amp;'Report Section'!$T$15,Table1[Date],"&lt;="&amp;'Report Section'!$AC$15,Table1[Class],"2",Table1[Gender],"Girl",Table1[Category],"OBC")</f>
        <v>0</v>
      </c>
      <c r="G24" s="48">
        <f t="shared" si="17"/>
        <v>0</v>
      </c>
      <c r="H24" s="50">
        <f>COUNTIFS(Table1[Date],"&gt;="&amp;'Report Section'!$T$15,Table1[Date],"&lt;="&amp;'Report Section'!$AC$15,Table1[Class],"3",Table1[Gender],"Boy",Table1[Category],"OBC")</f>
        <v>0</v>
      </c>
      <c r="I24" s="50">
        <f>COUNTIFS(Table1[Date],"&gt;="&amp;'Report Section'!$T$15,Table1[Date],"&lt;="&amp;'Report Section'!$AC$15,Table1[Class],"3",Table1[Gender],"Girl",Table1[Category],"OBC")</f>
        <v>0</v>
      </c>
      <c r="J24" s="48">
        <f t="shared" si="18"/>
        <v>0</v>
      </c>
      <c r="K24" s="50">
        <f>COUNTIFS(Table1[Date],"&gt;="&amp;'Report Section'!$T$15,Table1[Date],"&lt;="&amp;'Report Section'!$AC$15,Table1[Class],"4",Table1[Gender],"Boy",Table1[Category],"OBC")</f>
        <v>0</v>
      </c>
      <c r="L24" s="50">
        <f>COUNTIFS(Table1[Date],"&gt;="&amp;'Report Section'!$T$15,Table1[Date],"&lt;="&amp;'Report Section'!$AC$15,Table1[Class],"4",Table1[Gender],"Girl",Table1[Category],"OBC")</f>
        <v>0</v>
      </c>
      <c r="M24" s="48">
        <f t="shared" si="19"/>
        <v>0</v>
      </c>
      <c r="N24" s="50">
        <f>COUNTIFS(Table1[Date],"&gt;="&amp;'Report Section'!$T$15,Table1[Date],"&lt;="&amp;'Report Section'!$AC$15,Table1[Class],"5",Table1[Gender],"Boy",Table1[Category],"OBC")</f>
        <v>0</v>
      </c>
      <c r="O24" s="50">
        <f>COUNTIFS(Table1[Date],"&gt;="&amp;'Report Section'!$T$15,Table1[Date],"&lt;="&amp;'Report Section'!$AC$15,Table1[Class],"5",Table1[Gender],"Girl",Table1[Category],"OBC")</f>
        <v>0</v>
      </c>
      <c r="P24" s="48">
        <f t="shared" si="20"/>
        <v>0</v>
      </c>
      <c r="Q24" s="50">
        <f>COUNTIFS(Table1[Date],"&gt;="&amp;'Report Section'!$T$15,Table1[Date],"&lt;="&amp;'Report Section'!$AC$15,Table1[Class],"6",Table1[Gender],"Boy",Table1[Category],"OBC")</f>
        <v>0</v>
      </c>
      <c r="R24" s="50">
        <f>COUNTIFS(Table1[Date],"&gt;="&amp;'Report Section'!$T$15,Table1[Date],"&lt;="&amp;'Report Section'!$AC$15,Table1[Class],"6",Table1[Gender],"Girl",Table1[Category],"OBC")</f>
        <v>0</v>
      </c>
      <c r="S24" s="48">
        <f t="shared" si="21"/>
        <v>0</v>
      </c>
      <c r="T24" s="50">
        <f>COUNTIFS(Table1[Date],"&gt;="&amp;'Report Section'!$T$15,Table1[Date],"&lt;="&amp;'Report Section'!$AC$15,Table1[Class],"7",Table1[Gender],"Boy",Table1[Category],"OBC")</f>
        <v>0</v>
      </c>
      <c r="U24" s="50">
        <f>COUNTIFS(Table1[Date],"&gt;="&amp;'Report Section'!$T$15,Table1[Date],"&lt;="&amp;'Report Section'!$AC$15,Table1[Class],"7",Table1[Gender],"Girl",Table1[Category],"OBC")</f>
        <v>0</v>
      </c>
      <c r="V24" s="48">
        <f t="shared" si="22"/>
        <v>0</v>
      </c>
      <c r="W24" s="50">
        <f>COUNTIFS(Table1[Date],"&gt;="&amp;'Report Section'!$T$15,Table1[Date],"&lt;="&amp;'Report Section'!$AC$15,Table1[Class],"8",Table1[Gender],"Boy",Table1[Category],"OBC")</f>
        <v>0</v>
      </c>
      <c r="X24" s="50">
        <f>COUNTIFS(Table1[Date],"&gt;="&amp;'Report Section'!$T$15,Table1[Date],"&lt;="&amp;'Report Section'!$AC$15,Table1[Class],"8",Table1[Gender],"Girl",Table1[Category],"OBC")</f>
        <v>0</v>
      </c>
      <c r="Y24" s="48">
        <f t="shared" si="23"/>
        <v>0</v>
      </c>
      <c r="Z24" s="50">
        <f>COUNTIFS(Table1[Date],"&gt;="&amp;'Report Section'!$T$15,Table1[Date],"&lt;="&amp;'Report Section'!$AC$15,Table1[Class],"9",Table1[Gender],"Boy",Table1[Category],"OBC")</f>
        <v>0</v>
      </c>
      <c r="AA24" s="50">
        <f>COUNTIFS(Table1[Date],"&gt;="&amp;'Report Section'!$T$15,Table1[Date],"&lt;="&amp;'Report Section'!$AC$15,Table1[Class],"9",Table1[Gender],"Girl",Table1[Category],"OBC")</f>
        <v>0</v>
      </c>
      <c r="AB24" s="48">
        <f t="shared" si="24"/>
        <v>0</v>
      </c>
      <c r="AC24" s="50">
        <f>COUNTIFS(Table1[Date],"&gt;="&amp;'Report Section'!$T$15,Table1[Date],"&lt;="&amp;'Report Section'!$AC$15,Table1[Class],"10",Table1[Gender],"Boy",Table1[Category],"OBC")</f>
        <v>0</v>
      </c>
      <c r="AD24" s="50">
        <f>COUNTIFS(Table1[Date],"&gt;="&amp;'Report Section'!$T$15,Table1[Date],"&lt;="&amp;'Report Section'!$AC$15,Table1[Class],"10",Table1[Gender],"Girl",Table1[Category],"OBC")</f>
        <v>0</v>
      </c>
      <c r="AE24" s="48">
        <f t="shared" si="25"/>
        <v>0</v>
      </c>
      <c r="AF24" s="50">
        <f>COUNTIFS(Table1[Date],"&gt;="&amp;'Report Section'!$T$15,Table1[Date],"&lt;="&amp;'Report Section'!$AC$15,Table1[Class],"11",Table1[Gender],"Boy",Table1[Category],"OBC")</f>
        <v>0</v>
      </c>
      <c r="AG24" s="50">
        <f>COUNTIFS(Table1[Date],"&gt;="&amp;'Report Section'!$T$15,Table1[Date],"&lt;="&amp;'Report Section'!$AC$15,Table1[Class],"11",Table1[Gender],"Girl",Table1[Category],"OBC")</f>
        <v>0</v>
      </c>
      <c r="AH24" s="48">
        <f t="shared" si="26"/>
        <v>0</v>
      </c>
      <c r="AI24" s="50">
        <f>COUNTIFS(Table1[Date],"&gt;="&amp;'Report Section'!$T$15,Table1[Date],"&lt;="&amp;'Report Section'!$AC$15,Table1[Class],"12",Table1[Gender],"Boy",Table1[Category],"OBC")</f>
        <v>0</v>
      </c>
      <c r="AJ24" s="50">
        <f>COUNTIFS(Table1[Date],"&gt;="&amp;'Report Section'!$T$15,Table1[Date],"&lt;="&amp;'Report Section'!$AC$15,Table1[Class],"12",Table1[Gender],"Girl",Table1[Category],"OBC")</f>
        <v>0</v>
      </c>
      <c r="AK24" s="48">
        <f t="shared" si="27"/>
        <v>0</v>
      </c>
      <c r="AL24" s="48">
        <f t="shared" si="28"/>
        <v>0</v>
      </c>
      <c r="AM24" s="48">
        <f t="shared" si="29"/>
        <v>0</v>
      </c>
      <c r="AN24" s="48">
        <f t="shared" si="15"/>
        <v>0</v>
      </c>
    </row>
    <row r="25" spans="1:40" ht="18">
      <c r="A25" s="49" t="s">
        <v>42</v>
      </c>
      <c r="B25" s="50">
        <f>COUNTIFS(Table1[Date],"&gt;="&amp;'Report Section'!$T$15,Table1[Date],"&lt;="&amp;'Report Section'!$AC$15,Table1[Class],"1",Table1[Gender],"Boy",Table1[Category],"SBC")</f>
        <v>0</v>
      </c>
      <c r="C25" s="50">
        <f>COUNTIFS(Table1[Date],"&gt;="&amp;'Report Section'!$T$15,Table1[Date],"&lt;="&amp;'Report Section'!$AC$15,Table1[Class],"1",Table1[Gender],"Girl",Table1[Category],"SBC")</f>
        <v>0</v>
      </c>
      <c r="D25" s="48">
        <f t="shared" si="16"/>
        <v>0</v>
      </c>
      <c r="E25" s="50">
        <f>COUNTIFS(Table1[Date],"&gt;="&amp;'Report Section'!$T$15,Table1[Date],"&lt;="&amp;'Report Section'!$AC$15,Table1[Class],"2",Table1[Gender],"Boy",Table1[Category],"SBC")</f>
        <v>0</v>
      </c>
      <c r="F25" s="50">
        <f>COUNTIFS(Table1[Date],"&gt;="&amp;'Report Section'!$T$15,Table1[Date],"&lt;="&amp;'Report Section'!$AC$15,Table1[Class],"2",Table1[Gender],"Girl",Table1[Category],"SBC")</f>
        <v>0</v>
      </c>
      <c r="G25" s="48">
        <f t="shared" si="17"/>
        <v>0</v>
      </c>
      <c r="H25" s="50">
        <f>COUNTIFS(Table1[Date],"&gt;="&amp;'Report Section'!$T$15,Table1[Date],"&lt;="&amp;'Report Section'!$AC$15,Table1[Class],"3",Table1[Gender],"Boy",Table1[Category],"SBC")</f>
        <v>0</v>
      </c>
      <c r="I25" s="50">
        <f>COUNTIFS(Table1[Date],"&gt;="&amp;'Report Section'!$T$15,Table1[Date],"&lt;="&amp;'Report Section'!$AC$15,Table1[Class],"3",Table1[Gender],"Girl",Table1[Category],"SBC")</f>
        <v>0</v>
      </c>
      <c r="J25" s="48">
        <f t="shared" si="18"/>
        <v>0</v>
      </c>
      <c r="K25" s="50">
        <f>COUNTIFS(Table1[Date],"&gt;="&amp;'Report Section'!$T$15,Table1[Date],"&lt;="&amp;'Report Section'!$AC$15,Table1[Class],"4",Table1[Gender],"Boy",Table1[Category],"SBC")</f>
        <v>0</v>
      </c>
      <c r="L25" s="50">
        <f>COUNTIFS(Table1[Date],"&gt;="&amp;'Report Section'!$T$15,Table1[Date],"&lt;="&amp;'Report Section'!$AC$15,Table1[Class],"4",Table1[Gender],"Girl",Table1[Category],"SBC")</f>
        <v>0</v>
      </c>
      <c r="M25" s="48">
        <f t="shared" si="19"/>
        <v>0</v>
      </c>
      <c r="N25" s="50">
        <f>COUNTIFS(Table1[Date],"&gt;="&amp;'Report Section'!$T$15,Table1[Date],"&lt;="&amp;'Report Section'!$AC$15,Table1[Class],"5",Table1[Gender],"Boy",Table1[Category],"SBC")</f>
        <v>0</v>
      </c>
      <c r="O25" s="50">
        <f>COUNTIFS(Table1[Date],"&gt;="&amp;'Report Section'!$T$15,Table1[Date],"&lt;="&amp;'Report Section'!$AC$15,Table1[Class],"5",Table1[Gender],"Girl",Table1[Category],"SBC")</f>
        <v>0</v>
      </c>
      <c r="P25" s="48">
        <f t="shared" si="20"/>
        <v>0</v>
      </c>
      <c r="Q25" s="50">
        <f>COUNTIFS(Table1[Date],"&gt;="&amp;'Report Section'!$T$15,Table1[Date],"&lt;="&amp;'Report Section'!$AC$15,Table1[Class],"6",Table1[Gender],"Boy",Table1[Category],"SBC")</f>
        <v>0</v>
      </c>
      <c r="R25" s="50">
        <f>COUNTIFS(Table1[Date],"&gt;="&amp;'Report Section'!$T$15,Table1[Date],"&lt;="&amp;'Report Section'!$AC$15,Table1[Class],"6",Table1[Gender],"Girl",Table1[Category],"SBC")</f>
        <v>0</v>
      </c>
      <c r="S25" s="48">
        <f t="shared" si="21"/>
        <v>0</v>
      </c>
      <c r="T25" s="50">
        <f>COUNTIFS(Table1[Date],"&gt;="&amp;'Report Section'!$T$15,Table1[Date],"&lt;="&amp;'Report Section'!$AC$15,Table1[Class],"7",Table1[Gender],"Boy",Table1[Category],"SBC")</f>
        <v>0</v>
      </c>
      <c r="U25" s="50">
        <f>COUNTIFS(Table1[Date],"&gt;="&amp;'Report Section'!$T$15,Table1[Date],"&lt;="&amp;'Report Section'!$AC$15,Table1[Class],"7",Table1[Gender],"Girl",Table1[Category],"SBC")</f>
        <v>0</v>
      </c>
      <c r="V25" s="48">
        <f t="shared" si="22"/>
        <v>0</v>
      </c>
      <c r="W25" s="50">
        <f>COUNTIFS(Table1[Date],"&gt;="&amp;'Report Section'!$T$15,Table1[Date],"&lt;="&amp;'Report Section'!$AC$15,Table1[Class],"8",Table1[Gender],"Boy",Table1[Category],"SBC")</f>
        <v>0</v>
      </c>
      <c r="X25" s="50">
        <f>COUNTIFS(Table1[Date],"&gt;="&amp;'Report Section'!$T$15,Table1[Date],"&lt;="&amp;'Report Section'!$AC$15,Table1[Class],"8",Table1[Gender],"Girl",Table1[Category],"SBC")</f>
        <v>0</v>
      </c>
      <c r="Y25" s="48">
        <f t="shared" si="23"/>
        <v>0</v>
      </c>
      <c r="Z25" s="50">
        <f>COUNTIFS(Table1[Date],"&gt;="&amp;'Report Section'!$T$15,Table1[Date],"&lt;="&amp;'Report Section'!$AC$15,Table1[Class],"9",Table1[Gender],"Boy",Table1[Category],"SBC")</f>
        <v>0</v>
      </c>
      <c r="AA25" s="50">
        <f>COUNTIFS(Table1[Date],"&gt;="&amp;'Report Section'!$T$15,Table1[Date],"&lt;="&amp;'Report Section'!$AC$15,Table1[Class],"9",Table1[Gender],"Girl",Table1[Category],"SBC")</f>
        <v>0</v>
      </c>
      <c r="AB25" s="48">
        <f t="shared" si="24"/>
        <v>0</v>
      </c>
      <c r="AC25" s="50">
        <f>COUNTIFS(Table1[Date],"&gt;="&amp;'Report Section'!$T$15,Table1[Date],"&lt;="&amp;'Report Section'!$AC$15,Table1[Class],"10",Table1[Gender],"Boy",Table1[Category],"SBC")</f>
        <v>0</v>
      </c>
      <c r="AD25" s="50">
        <f>COUNTIFS(Table1[Date],"&gt;="&amp;'Report Section'!$T$15,Table1[Date],"&lt;="&amp;'Report Section'!$AC$15,Table1[Class],"10",Table1[Gender],"Girl",Table1[Category],"SBC")</f>
        <v>0</v>
      </c>
      <c r="AE25" s="48">
        <f t="shared" si="25"/>
        <v>0</v>
      </c>
      <c r="AF25" s="50">
        <f>COUNTIFS(Table1[Date],"&gt;="&amp;'Report Section'!$T$15,Table1[Date],"&lt;="&amp;'Report Section'!$AC$15,Table1[Class],"11",Table1[Gender],"Boy",Table1[Category],"SBC")</f>
        <v>0</v>
      </c>
      <c r="AG25" s="50">
        <f>COUNTIFS(Table1[Date],"&gt;="&amp;'Report Section'!$T$15,Table1[Date],"&lt;="&amp;'Report Section'!$AC$15,Table1[Class],"11",Table1[Gender],"Girl",Table1[Category],"SBC")</f>
        <v>0</v>
      </c>
      <c r="AH25" s="48">
        <f t="shared" si="26"/>
        <v>0</v>
      </c>
      <c r="AI25" s="50">
        <f>COUNTIFS(Table1[Date],"&gt;="&amp;'Report Section'!$T$15,Table1[Date],"&lt;="&amp;'Report Section'!$AC$15,Table1[Class],"12",Table1[Gender],"Boy",Table1[Category],"SBC")</f>
        <v>0</v>
      </c>
      <c r="AJ25" s="50">
        <f>COUNTIFS(Table1[Date],"&gt;="&amp;'Report Section'!$T$15,Table1[Date],"&lt;="&amp;'Report Section'!$AC$15,Table1[Class],"12",Table1[Gender],"Girl",Table1[Category],"SBC")</f>
        <v>0</v>
      </c>
      <c r="AK25" s="48">
        <f t="shared" si="27"/>
        <v>0</v>
      </c>
      <c r="AL25" s="48">
        <f t="shared" si="28"/>
        <v>0</v>
      </c>
      <c r="AM25" s="48">
        <f t="shared" si="29"/>
        <v>0</v>
      </c>
      <c r="AN25" s="48">
        <f t="shared" si="15"/>
        <v>0</v>
      </c>
    </row>
    <row r="26" spans="1:40" ht="18">
      <c r="A26" s="49" t="s">
        <v>43</v>
      </c>
      <c r="B26" s="50">
        <f>COUNTIFS(Table1[Date],"&gt;="&amp;'Report Section'!$T$15,Table1[Date],"&lt;="&amp;'Report Section'!$AC$15,Table1[Class],"1",Table1[Gender],"Boy",Table1[Category],"Minority")</f>
        <v>0</v>
      </c>
      <c r="C26" s="50">
        <f>COUNTIFS(Table1[Date],"&gt;="&amp;'Report Section'!$T$15,Table1[Date],"&lt;="&amp;'Report Section'!$AC$15,Table1[Class],"1",Table1[Gender],"Girl",Table1[Category],"Minority")</f>
        <v>0</v>
      </c>
      <c r="D26" s="48">
        <f t="shared" si="16"/>
        <v>0</v>
      </c>
      <c r="E26" s="50">
        <f>COUNTIFS(Table1[Date],"&gt;="&amp;'Report Section'!$T$15,Table1[Date],"&lt;="&amp;'Report Section'!$AC$15,Table1[Class],"2",Table1[Gender],"Boy",Table1[Category],"Minority")</f>
        <v>0</v>
      </c>
      <c r="F26" s="50">
        <f>COUNTIFS(Table1[Date],"&gt;="&amp;'Report Section'!$T$15,Table1[Date],"&lt;="&amp;'Report Section'!$AC$15,Table1[Class],"2",Table1[Gender],"Girl",Table1[Category],"Minority")</f>
        <v>0</v>
      </c>
      <c r="G26" s="48">
        <f t="shared" si="17"/>
        <v>0</v>
      </c>
      <c r="H26" s="50">
        <f>COUNTIFS(Table1[Date],"&gt;="&amp;'Report Section'!$T$15,Table1[Date],"&lt;="&amp;'Report Section'!$AC$15,Table1[Class],"3",Table1[Gender],"Boy",Table1[Category],"Minority")</f>
        <v>0</v>
      </c>
      <c r="I26" s="50">
        <f>COUNTIFS(Table1[Date],"&gt;="&amp;'Report Section'!$T$15,Table1[Date],"&lt;="&amp;'Report Section'!$AC$15,Table1[Class],"3",Table1[Gender],"Girl",Table1[Category],"Minority")</f>
        <v>0</v>
      </c>
      <c r="J26" s="48">
        <f t="shared" si="18"/>
        <v>0</v>
      </c>
      <c r="K26" s="50">
        <f>COUNTIFS(Table1[Date],"&gt;="&amp;'Report Section'!$T$15,Table1[Date],"&lt;="&amp;'Report Section'!$AC$15,Table1[Class],"4",Table1[Gender],"Boy",Table1[Category],"Minority")</f>
        <v>0</v>
      </c>
      <c r="L26" s="50">
        <f>COUNTIFS(Table1[Date],"&gt;="&amp;'Report Section'!$T$15,Table1[Date],"&lt;="&amp;'Report Section'!$AC$15,Table1[Class],"4",Table1[Gender],"Girl",Table1[Category],"Minority")</f>
        <v>0</v>
      </c>
      <c r="M26" s="48">
        <f t="shared" si="19"/>
        <v>0</v>
      </c>
      <c r="N26" s="50">
        <f>COUNTIFS(Table1[Date],"&gt;="&amp;'Report Section'!$T$15,Table1[Date],"&lt;="&amp;'Report Section'!$AC$15,Table1[Class],"5",Table1[Gender],"Boy",Table1[Category],"Minority")</f>
        <v>0</v>
      </c>
      <c r="O26" s="50">
        <f>COUNTIFS(Table1[Date],"&gt;="&amp;'Report Section'!$T$15,Table1[Date],"&lt;="&amp;'Report Section'!$AC$15,Table1[Class],"5",Table1[Gender],"Girl",Table1[Category],"Minority")</f>
        <v>0</v>
      </c>
      <c r="P26" s="48">
        <f t="shared" si="20"/>
        <v>0</v>
      </c>
      <c r="Q26" s="50">
        <f>COUNTIFS(Table1[Date],"&gt;="&amp;'Report Section'!$T$15,Table1[Date],"&lt;="&amp;'Report Section'!$AC$15,Table1[Class],"6",Table1[Gender],"Boy",Table1[Category],"Minority")</f>
        <v>0</v>
      </c>
      <c r="R26" s="50">
        <f>COUNTIFS(Table1[Date],"&gt;="&amp;'Report Section'!$T$15,Table1[Date],"&lt;="&amp;'Report Section'!$AC$15,Table1[Class],"6",Table1[Gender],"Girl",Table1[Category],"Minority")</f>
        <v>0</v>
      </c>
      <c r="S26" s="48">
        <f t="shared" si="21"/>
        <v>0</v>
      </c>
      <c r="T26" s="50">
        <f>COUNTIFS(Table1[Date],"&gt;="&amp;'Report Section'!$T$15,Table1[Date],"&lt;="&amp;'Report Section'!$AC$15,Table1[Class],"7",Table1[Gender],"Boy",Table1[Category],"Minority")</f>
        <v>0</v>
      </c>
      <c r="U26" s="50">
        <f>COUNTIFS(Table1[Date],"&gt;="&amp;'Report Section'!$T$15,Table1[Date],"&lt;="&amp;'Report Section'!$AC$15,Table1[Class],"7",Table1[Gender],"Girl",Table1[Category],"Minority")</f>
        <v>0</v>
      </c>
      <c r="V26" s="48">
        <f t="shared" si="22"/>
        <v>0</v>
      </c>
      <c r="W26" s="50">
        <f>COUNTIFS(Table1[Date],"&gt;="&amp;'Report Section'!$T$15,Table1[Date],"&lt;="&amp;'Report Section'!$AC$15,Table1[Class],"8",Table1[Gender],"Boy",Table1[Category],"Minority")</f>
        <v>0</v>
      </c>
      <c r="X26" s="50">
        <f>COUNTIFS(Table1[Date],"&gt;="&amp;'Report Section'!$T$15,Table1[Date],"&lt;="&amp;'Report Section'!$AC$15,Table1[Class],"8",Table1[Gender],"Girl",Table1[Category],"Minority")</f>
        <v>0</v>
      </c>
      <c r="Y26" s="48">
        <f t="shared" si="23"/>
        <v>0</v>
      </c>
      <c r="Z26" s="50">
        <f>COUNTIFS(Table1[Date],"&gt;="&amp;'Report Section'!$T$15,Table1[Date],"&lt;="&amp;'Report Section'!$AC$15,Table1[Class],"9",Table1[Gender],"Boy",Table1[Category],"Minority")</f>
        <v>0</v>
      </c>
      <c r="AA26" s="50">
        <f>COUNTIFS(Table1[Date],"&gt;="&amp;'Report Section'!$T$15,Table1[Date],"&lt;="&amp;'Report Section'!$AC$15,Table1[Class],"9",Table1[Gender],"Girl",Table1[Category],"Minority")</f>
        <v>0</v>
      </c>
      <c r="AB26" s="48">
        <f t="shared" si="24"/>
        <v>0</v>
      </c>
      <c r="AC26" s="50">
        <f>COUNTIFS(Table1[Date],"&gt;="&amp;'Report Section'!$T$15,Table1[Date],"&lt;="&amp;'Report Section'!$AC$15,Table1[Class],"10",Table1[Gender],"Boy",Table1[Category],"Minority")</f>
        <v>0</v>
      </c>
      <c r="AD26" s="50">
        <f>COUNTIFS(Table1[Date],"&gt;="&amp;'Report Section'!$T$15,Table1[Date],"&lt;="&amp;'Report Section'!$AC$15,Table1[Class],"10",Table1[Gender],"Girl",Table1[Category],"Minority")</f>
        <v>0</v>
      </c>
      <c r="AE26" s="48">
        <f t="shared" si="25"/>
        <v>0</v>
      </c>
      <c r="AF26" s="50">
        <f>COUNTIFS(Table1[Date],"&gt;="&amp;'Report Section'!$T$15,Table1[Date],"&lt;="&amp;'Report Section'!$AC$15,Table1[Class],"11",Table1[Gender],"Boy",Table1[Category],"Minority")</f>
        <v>0</v>
      </c>
      <c r="AG26" s="50">
        <f>COUNTIFS(Table1[Date],"&gt;="&amp;'Report Section'!$T$15,Table1[Date],"&lt;="&amp;'Report Section'!$AC$15,Table1[Class],"11",Table1[Gender],"Girl",Table1[Category],"Minority")</f>
        <v>0</v>
      </c>
      <c r="AH26" s="48">
        <f t="shared" si="26"/>
        <v>0</v>
      </c>
      <c r="AI26" s="50">
        <f>COUNTIFS(Table1[Date],"&gt;="&amp;'Report Section'!$T$15,Table1[Date],"&lt;="&amp;'Report Section'!$AC$15,Table1[Class],"12",Table1[Gender],"Boy",Table1[Category],"Minority")</f>
        <v>0</v>
      </c>
      <c r="AJ26" s="50">
        <f>COUNTIFS(Table1[Date],"&gt;="&amp;'Report Section'!$T$15,Table1[Date],"&lt;="&amp;'Report Section'!$AC$15,Table1[Class],"12",Table1[Gender],"Girl",Table1[Category],"Minority")</f>
        <v>0</v>
      </c>
      <c r="AK26" s="48">
        <f t="shared" si="27"/>
        <v>0</v>
      </c>
      <c r="AL26" s="48">
        <f t="shared" si="28"/>
        <v>0</v>
      </c>
      <c r="AM26" s="48">
        <f t="shared" si="29"/>
        <v>0</v>
      </c>
      <c r="AN26" s="48">
        <f t="shared" si="15"/>
        <v>0</v>
      </c>
    </row>
    <row r="27" spans="1:40"/>
    <row r="28" spans="1:40">
      <c r="G28" s="68" t="s">
        <v>44</v>
      </c>
      <c r="H28" s="69"/>
      <c r="I28" s="69"/>
      <c r="J28" s="69"/>
      <c r="K28" s="69"/>
      <c r="L28" s="69"/>
      <c r="M28" s="69"/>
      <c r="Q28" s="12"/>
      <c r="R28" s="13"/>
      <c r="S28" s="13"/>
      <c r="T28" s="13"/>
      <c r="U28" s="13"/>
      <c r="V28" s="13"/>
      <c r="W28" s="13"/>
      <c r="AG28" s="68" t="s">
        <v>49</v>
      </c>
      <c r="AH28" s="69"/>
      <c r="AI28" s="69"/>
      <c r="AJ28" s="69"/>
      <c r="AK28" s="69"/>
      <c r="AL28" s="69"/>
      <c r="AM28" s="69"/>
    </row>
    <row r="29" spans="1:40">
      <c r="G29" s="69"/>
      <c r="H29" s="69"/>
      <c r="I29" s="69"/>
      <c r="J29" s="69"/>
      <c r="K29" s="69"/>
      <c r="L29" s="69"/>
      <c r="M29" s="69"/>
      <c r="Q29" s="13"/>
      <c r="R29" s="13"/>
      <c r="S29" s="13"/>
      <c r="T29" s="13"/>
      <c r="U29" s="13"/>
      <c r="V29" s="13"/>
      <c r="W29" s="13"/>
      <c r="AG29" s="69"/>
      <c r="AH29" s="69"/>
      <c r="AI29" s="69"/>
      <c r="AJ29" s="69"/>
      <c r="AK29" s="69"/>
      <c r="AL29" s="69"/>
      <c r="AM29" s="69"/>
    </row>
    <row r="30" spans="1:40">
      <c r="G30" s="69"/>
      <c r="H30" s="69"/>
      <c r="I30" s="69"/>
      <c r="J30" s="69"/>
      <c r="K30" s="69"/>
      <c r="L30" s="69"/>
      <c r="M30" s="69"/>
      <c r="Q30" s="13"/>
      <c r="R30" s="13"/>
      <c r="S30" s="13"/>
      <c r="T30" s="13"/>
      <c r="U30" s="13"/>
      <c r="V30" s="13"/>
      <c r="W30" s="13"/>
      <c r="AG30" s="69"/>
      <c r="AH30" s="69"/>
      <c r="AI30" s="69"/>
      <c r="AJ30" s="69"/>
      <c r="AK30" s="69"/>
      <c r="AL30" s="69"/>
      <c r="AM30" s="69"/>
    </row>
    <row r="31" spans="1:40">
      <c r="G31" s="69"/>
      <c r="H31" s="69"/>
      <c r="I31" s="69"/>
      <c r="J31" s="69"/>
      <c r="K31" s="69"/>
      <c r="L31" s="69"/>
      <c r="M31" s="69"/>
      <c r="Q31" s="13"/>
      <c r="R31" s="13"/>
      <c r="S31" s="13"/>
      <c r="T31" s="13"/>
      <c r="U31" s="13"/>
      <c r="V31" s="13"/>
      <c r="W31" s="13"/>
      <c r="AG31" s="69"/>
      <c r="AH31" s="69"/>
      <c r="AI31" s="69"/>
      <c r="AJ31" s="69"/>
      <c r="AK31" s="69"/>
      <c r="AL31" s="69"/>
      <c r="AM31" s="69"/>
    </row>
    <row r="32" spans="1:40" hidden="1"/>
    <row r="33" hidden="1"/>
    <row r="34" hidden="1"/>
    <row r="35" hidden="1"/>
  </sheetData>
  <sheetProtection sheet="1" objects="1" scenarios="1"/>
  <mergeCells count="39">
    <mergeCell ref="B18:D18"/>
    <mergeCell ref="E18:G18"/>
    <mergeCell ref="Z18:AB18"/>
    <mergeCell ref="N18:P18"/>
    <mergeCell ref="X4:AA4"/>
    <mergeCell ref="K15:S16"/>
    <mergeCell ref="K4:W4"/>
    <mergeCell ref="A1:AN2"/>
    <mergeCell ref="A3:AN3"/>
    <mergeCell ref="Q18:S18"/>
    <mergeCell ref="T18:V18"/>
    <mergeCell ref="W18:Y18"/>
    <mergeCell ref="AL5:AN5"/>
    <mergeCell ref="B5:D5"/>
    <mergeCell ref="E5:G5"/>
    <mergeCell ref="H5:J5"/>
    <mergeCell ref="K5:M5"/>
    <mergeCell ref="AI5:AK5"/>
    <mergeCell ref="AF18:AH18"/>
    <mergeCell ref="AI18:AK18"/>
    <mergeCell ref="AL18:AN18"/>
    <mergeCell ref="T15:W16"/>
    <mergeCell ref="AC15:AF16"/>
    <mergeCell ref="AG28:AM31"/>
    <mergeCell ref="AF5:AH5"/>
    <mergeCell ref="AC5:AE5"/>
    <mergeCell ref="A5:A7"/>
    <mergeCell ref="X15:AB16"/>
    <mergeCell ref="AG15:AN16"/>
    <mergeCell ref="N5:P5"/>
    <mergeCell ref="Q5:S5"/>
    <mergeCell ref="T5:V5"/>
    <mergeCell ref="W5:Y5"/>
    <mergeCell ref="Z5:AB5"/>
    <mergeCell ref="G28:M31"/>
    <mergeCell ref="AC18:AE18"/>
    <mergeCell ref="A18:A20"/>
    <mergeCell ref="H18:J18"/>
    <mergeCell ref="K18:M18"/>
  </mergeCells>
  <pageMargins left="0.70866141732283472" right="0.70866141732283472" top="0.74803149606299213" bottom="0.74803149606299213" header="0.31496062992125984" footer="0.31496062992125984"/>
  <pageSetup paperSize="9" scale="60" orientation="landscape" blackAndWhite="1"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'Entry Sheet'!$Q$6:$Q$67</xm:f>
          </x14:formula1>
          <xm:sqref>X4 T15 AC15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vt:lpstr>
      <vt:lpstr>Entry Sheet</vt:lpstr>
      <vt:lpstr>Calculation </vt:lpstr>
      <vt:lpstr>Report Section</vt:lpstr>
      <vt:lpstr>'Calculation '!Criteria</vt:lpstr>
      <vt:lpstr>'Calculation '!Extract</vt:lpstr>
      <vt:lpstr>'Calculation '!Print_Area</vt:lpstr>
      <vt:lpstr>'Entry Sheet'!Print_Area</vt:lpstr>
      <vt:lpstr>'Report Section'!Print_Area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2020-06-14T13:01:42Z</dcterms:modified>
</cp:coreProperties>
</file>